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Mijn Drive\6-Rekentools\Overige rekentools\"/>
    </mc:Choice>
  </mc:AlternateContent>
  <xr:revisionPtr revIDLastSave="0" documentId="8_{B32245FF-0CE2-45EF-8439-C74F10B9EF7A}" xr6:coauthVersionLast="47" xr6:coauthVersionMax="47" xr10:uidLastSave="{00000000-0000-0000-0000-000000000000}"/>
  <bookViews>
    <workbookView xWindow="-38510" yWindow="2440" windowWidth="38620" windowHeight="21220" xr2:uid="{00000000-000D-0000-FFFF-FFFF00000000}"/>
  </bookViews>
  <sheets>
    <sheet name="CONFIGURATOR" sheetId="1" r:id="rId1"/>
    <sheet name="DATA" sheetId="2" state="veryHidden" r:id="rId2"/>
    <sheet name="Artikellijst" sheetId="4" state="veryHidden" r:id="rId3"/>
  </sheets>
  <definedNames>
    <definedName name="Deutsch">DATA!$AH$2:$AH$3</definedName>
    <definedName name="English">DATA!$AI$2:$AI$3</definedName>
    <definedName name="Fixation_sur_platine">DATA!$AP$2:$AP$3</definedName>
    <definedName name="Français">DATA!$AG$2:$AG$3</definedName>
    <definedName name="Impress">DATA!$AF$2:$AF$9</definedName>
    <definedName name="Installatie_IN_de_grond">DATA!$AK$2:$AK$4</definedName>
    <definedName name="Installatie_OP_de_grond">DATA!$AO$2:$AO$3</definedName>
    <definedName name="KLEURALU">DATA!$N$2:$N$5</definedName>
    <definedName name="KLEUREN">DATA!$L$2:$L$6</definedName>
    <definedName name="KLEUREN_D">DATA!$L$14:$L$19</definedName>
    <definedName name="KLEUREN_ENG">DATA!$L$20:$L$25</definedName>
    <definedName name="KLEUREN_FR">DATA!$L$8:$L$13</definedName>
    <definedName name="KLEUREN_NL">DATA!$L$2:$L$7</definedName>
    <definedName name="KLEURENALU">DATA!$O$2:$O$3</definedName>
    <definedName name="MONTAGE">DATA!$I$2:$I$9</definedName>
    <definedName name="Montage_AUF_dem_Boden">DATA!$AQ$2:$AQ$3</definedName>
    <definedName name="MONTAGE_D">DATA!$I$6:$I$7</definedName>
    <definedName name="MONTAGE_ENG">DATA!$I$8:$I$9</definedName>
    <definedName name="MONTAGE_FR">DATA!$I$4:$I$5</definedName>
    <definedName name="Montage_In_den_Boden">DATA!$AM$2:$AM$4</definedName>
    <definedName name="MONTAGE_NL">DATA!$I$2:$I$3</definedName>
    <definedName name="Mounting_IN_the_ground">DATA!$AN$2:$AN$4</definedName>
    <definedName name="Mounting_ON_the_ground">DATA!$AR$2:$AR$3</definedName>
    <definedName name="Nederlands">DATA!$AF$2:$AF$3</definedName>
    <definedName name="NL">DATA!$I$2:$I$3</definedName>
    <definedName name="Poteau_dans_le_sol">DATA!$AL$2:$AL$4</definedName>
    <definedName name="TALEN">DATA!$A$2:$A$5</definedName>
    <definedName name="UITEINDEN">DATA!$G$2:$G$4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1" l="1"/>
  <c r="J31" i="1"/>
  <c r="J28" i="1"/>
  <c r="J25" i="1"/>
  <c r="J22" i="1"/>
  <c r="J16" i="1"/>
  <c r="J13" i="1"/>
  <c r="J10" i="1"/>
  <c r="J7" i="1"/>
  <c r="J4" i="1"/>
  <c r="D27" i="1"/>
  <c r="D23" i="1"/>
  <c r="D19" i="1"/>
  <c r="I34" i="1" l="1"/>
  <c r="I31" i="1"/>
  <c r="I28" i="1"/>
  <c r="I25" i="1"/>
  <c r="I4" i="1" l="1"/>
  <c r="K16" i="1" l="1"/>
  <c r="K37" i="1" s="1"/>
  <c r="D42" i="4" l="1"/>
  <c r="H42" i="4" s="1"/>
  <c r="D34" i="1"/>
  <c r="J2" i="2" l="1"/>
  <c r="A11" i="2" l="1"/>
  <c r="D22" i="4"/>
  <c r="H22" i="4" s="1"/>
  <c r="D21" i="4"/>
  <c r="H21" i="4" s="1"/>
  <c r="D19" i="4"/>
  <c r="H19" i="4" s="1"/>
  <c r="D18" i="4"/>
  <c r="H18" i="4" s="1"/>
  <c r="I21" i="4" l="1"/>
  <c r="K21" i="4" s="1"/>
  <c r="G21" i="4"/>
  <c r="I19" i="4"/>
  <c r="K19" i="4" s="1"/>
  <c r="G19" i="4"/>
  <c r="N18" i="4"/>
  <c r="G18" i="4"/>
  <c r="G22" i="4"/>
  <c r="I22" i="4"/>
  <c r="K22" i="4" s="1"/>
  <c r="N19" i="4"/>
  <c r="N21" i="4"/>
  <c r="N22" i="4"/>
  <c r="K10" i="1"/>
  <c r="D12" i="4" s="1"/>
  <c r="H12" i="4" s="1"/>
  <c r="I22" i="1"/>
  <c r="I19" i="1"/>
  <c r="I16" i="1"/>
  <c r="I13" i="1"/>
  <c r="I10" i="1"/>
  <c r="I7" i="1"/>
  <c r="K13" i="1"/>
  <c r="D15" i="4" s="1"/>
  <c r="H15" i="4" s="1"/>
  <c r="K22" i="1"/>
  <c r="D27" i="4" s="1"/>
  <c r="H27" i="4" s="1"/>
  <c r="K19" i="1"/>
  <c r="K7" i="1"/>
  <c r="D16" i="1"/>
  <c r="D14" i="1"/>
  <c r="E12" i="1"/>
  <c r="D12" i="1"/>
  <c r="D9" i="1"/>
  <c r="D9" i="4" l="1"/>
  <c r="H9" i="4" s="1"/>
  <c r="D8" i="4"/>
  <c r="D10" i="4"/>
  <c r="H10" i="4" s="1"/>
  <c r="D7" i="4"/>
  <c r="H7" i="4" s="1"/>
  <c r="N12" i="4"/>
  <c r="G12" i="4"/>
  <c r="N15" i="4"/>
  <c r="G15" i="4"/>
  <c r="G27" i="4"/>
  <c r="N27" i="4"/>
  <c r="J18" i="4"/>
  <c r="J19" i="4"/>
  <c r="L19" i="4" s="1"/>
  <c r="E16" i="1"/>
  <c r="K4" i="1" s="1"/>
  <c r="AB2" i="2"/>
  <c r="J21" i="4"/>
  <c r="L21" i="4" s="1"/>
  <c r="D28" i="4"/>
  <c r="D16" i="4"/>
  <c r="D13" i="4"/>
  <c r="H13" i="4" s="1"/>
  <c r="J22" i="4"/>
  <c r="L22" i="4" s="1"/>
  <c r="I18" i="4"/>
  <c r="K18" i="4" s="1"/>
  <c r="D20" i="4"/>
  <c r="H20" i="4" s="1"/>
  <c r="D25" i="4"/>
  <c r="H25" i="4" s="1"/>
  <c r="D23" i="4"/>
  <c r="H23" i="4" s="1"/>
  <c r="K25" i="1"/>
  <c r="D30" i="4" s="1"/>
  <c r="H30" i="4" s="1"/>
  <c r="K34" i="1"/>
  <c r="D39" i="4" s="1"/>
  <c r="H39" i="4" s="1"/>
  <c r="K31" i="1"/>
  <c r="D36" i="4" s="1"/>
  <c r="H36" i="4" s="1"/>
  <c r="N9" i="4" l="1"/>
  <c r="G9" i="4"/>
  <c r="D4" i="4"/>
  <c r="H4" i="4" s="1"/>
  <c r="D3" i="4"/>
  <c r="G8" i="4"/>
  <c r="H8" i="4"/>
  <c r="N8" i="4"/>
  <c r="N16" i="4"/>
  <c r="H16" i="4"/>
  <c r="N28" i="4"/>
  <c r="H28" i="4"/>
  <c r="J28" i="4" s="1"/>
  <c r="N7" i="4"/>
  <c r="J7" i="4"/>
  <c r="G7" i="4"/>
  <c r="N36" i="4"/>
  <c r="G36" i="4"/>
  <c r="D5" i="4"/>
  <c r="H5" i="4" s="1"/>
  <c r="J5" i="4" s="1"/>
  <c r="D2" i="4"/>
  <c r="H2" i="4" s="1"/>
  <c r="I27" i="4"/>
  <c r="K27" i="4" s="1"/>
  <c r="J27" i="4"/>
  <c r="K28" i="1"/>
  <c r="D33" i="4" s="1"/>
  <c r="H33" i="4" s="1"/>
  <c r="N30" i="4"/>
  <c r="G30" i="4"/>
  <c r="L18" i="4"/>
  <c r="G10" i="4"/>
  <c r="I10" i="4"/>
  <c r="K10" i="4" s="1"/>
  <c r="G13" i="4"/>
  <c r="I13" i="4"/>
  <c r="K13" i="4" s="1"/>
  <c r="N20" i="4"/>
  <c r="G20" i="4"/>
  <c r="G16" i="4"/>
  <c r="G28" i="4"/>
  <c r="N25" i="4"/>
  <c r="G25" i="4"/>
  <c r="J25" i="4"/>
  <c r="N23" i="4"/>
  <c r="G23" i="4"/>
  <c r="J23" i="4"/>
  <c r="N10" i="4"/>
  <c r="N13" i="4"/>
  <c r="D37" i="4"/>
  <c r="D31" i="4"/>
  <c r="H31" i="4" s="1"/>
  <c r="D40" i="4"/>
  <c r="H40" i="4" s="1"/>
  <c r="J30" i="4"/>
  <c r="J9" i="4"/>
  <c r="I15" i="4"/>
  <c r="K15" i="4" s="1"/>
  <c r="J15" i="4"/>
  <c r="J12" i="4"/>
  <c r="D34" i="4" l="1"/>
  <c r="H34" i="4" s="1"/>
  <c r="N4" i="4"/>
  <c r="N5" i="4"/>
  <c r="G5" i="4"/>
  <c r="G4" i="4"/>
  <c r="I8" i="4"/>
  <c r="K8" i="4" s="1"/>
  <c r="J8" i="4"/>
  <c r="N3" i="4"/>
  <c r="H3" i="4"/>
  <c r="G3" i="4"/>
  <c r="N37" i="4"/>
  <c r="H37" i="4"/>
  <c r="J37" i="4" s="1"/>
  <c r="L27" i="4"/>
  <c r="N2" i="4"/>
  <c r="G2" i="4"/>
  <c r="J2" i="4"/>
  <c r="N33" i="4"/>
  <c r="J33" i="4"/>
  <c r="G33" i="4"/>
  <c r="I28" i="4"/>
  <c r="K28" i="4" s="1"/>
  <c r="L28" i="4" s="1"/>
  <c r="J20" i="4"/>
  <c r="G42" i="4"/>
  <c r="N42" i="4"/>
  <c r="I5" i="4"/>
  <c r="K5" i="4" s="1"/>
  <c r="L5" i="4" s="1"/>
  <c r="J13" i="4"/>
  <c r="L13" i="4" s="1"/>
  <c r="J10" i="4"/>
  <c r="L10" i="4" s="1"/>
  <c r="J34" i="4"/>
  <c r="G34" i="4"/>
  <c r="I31" i="4"/>
  <c r="K31" i="4" s="1"/>
  <c r="G31" i="4"/>
  <c r="G37" i="4"/>
  <c r="N31" i="4"/>
  <c r="I16" i="4"/>
  <c r="K16" i="4" s="1"/>
  <c r="J16" i="4"/>
  <c r="N39" i="4"/>
  <c r="I39" i="4"/>
  <c r="K39" i="4" s="1"/>
  <c r="G39" i="4"/>
  <c r="J40" i="4"/>
  <c r="G40" i="4"/>
  <c r="N34" i="4"/>
  <c r="N40" i="4"/>
  <c r="I30" i="4"/>
  <c r="K30" i="4" s="1"/>
  <c r="L30" i="4" s="1"/>
  <c r="J36" i="4"/>
  <c r="I25" i="4"/>
  <c r="K25" i="4" s="1"/>
  <c r="L25" i="4" s="1"/>
  <c r="M25" i="4" s="1"/>
  <c r="J4" i="4"/>
  <c r="I7" i="4"/>
  <c r="K7" i="4" s="1"/>
  <c r="L7" i="4" s="1"/>
  <c r="I9" i="4"/>
  <c r="K9" i="4" s="1"/>
  <c r="L9" i="4" s="1"/>
  <c r="I12" i="4"/>
  <c r="K12" i="4" s="1"/>
  <c r="L12" i="4" s="1"/>
  <c r="I23" i="4"/>
  <c r="K23" i="4" s="1"/>
  <c r="L23" i="4" s="1"/>
  <c r="I20" i="4"/>
  <c r="K20" i="4" s="1"/>
  <c r="L15" i="4"/>
  <c r="L8" i="4" l="1"/>
  <c r="M10" i="4" s="1"/>
  <c r="I3" i="4"/>
  <c r="K3" i="4" s="1"/>
  <c r="J3" i="4"/>
  <c r="M28" i="4"/>
  <c r="I33" i="4"/>
  <c r="K33" i="4" s="1"/>
  <c r="L33" i="4" s="1"/>
  <c r="L20" i="4"/>
  <c r="M23" i="4" s="1"/>
  <c r="I34" i="4"/>
  <c r="K34" i="4" s="1"/>
  <c r="L34" i="4" s="1"/>
  <c r="L16" i="4"/>
  <c r="M16" i="4" s="1"/>
  <c r="I42" i="4"/>
  <c r="K42" i="4" s="1"/>
  <c r="I37" i="4"/>
  <c r="K37" i="4" s="1"/>
  <c r="L37" i="4" s="1"/>
  <c r="J39" i="4"/>
  <c r="L39" i="4" s="1"/>
  <c r="J31" i="4"/>
  <c r="L31" i="4" s="1"/>
  <c r="M31" i="4" s="1"/>
  <c r="M13" i="4"/>
  <c r="I40" i="4"/>
  <c r="K40" i="4" s="1"/>
  <c r="L40" i="4" s="1"/>
  <c r="I36" i="4"/>
  <c r="K36" i="4" s="1"/>
  <c r="L36" i="4" s="1"/>
  <c r="I2" i="4"/>
  <c r="K2" i="4" s="1"/>
  <c r="L2" i="4" s="1"/>
  <c r="I4" i="4"/>
  <c r="K4" i="4" s="1"/>
  <c r="L4" i="4" s="1"/>
  <c r="L3" i="4" l="1"/>
  <c r="M5" i="4" s="1"/>
  <c r="J42" i="4"/>
  <c r="L42" i="4" s="1"/>
  <c r="M42" i="4" s="1"/>
  <c r="M34" i="4"/>
  <c r="M37" i="4"/>
  <c r="M40" i="4"/>
</calcChain>
</file>

<file path=xl/sharedStrings.xml><?xml version="1.0" encoding="utf-8"?>
<sst xmlns="http://schemas.openxmlformats.org/spreadsheetml/2006/main" count="308" uniqueCount="258">
  <si>
    <t>TALEN</t>
  </si>
  <si>
    <t>Nederlands</t>
  </si>
  <si>
    <t>Français</t>
  </si>
  <si>
    <t>English</t>
  </si>
  <si>
    <t>Aantal schermen</t>
  </si>
  <si>
    <t>Nombre de pallisades</t>
  </si>
  <si>
    <t>Aantal palen</t>
  </si>
  <si>
    <t>Number of posts</t>
  </si>
  <si>
    <t>Aantal hoekpalen</t>
  </si>
  <si>
    <t>Number of corner posts</t>
  </si>
  <si>
    <t>SCHERMEN</t>
  </si>
  <si>
    <t>PALEN</t>
  </si>
  <si>
    <t>HOEKPALEN</t>
  </si>
  <si>
    <t>RECHTEPALEN</t>
  </si>
  <si>
    <t>Aantal rechte palen</t>
  </si>
  <si>
    <t>Number of straight posts</t>
  </si>
  <si>
    <t>VRIJE UITEINDEN</t>
  </si>
  <si>
    <t>Aantal vrije uiteinden</t>
  </si>
  <si>
    <t>Number of free ends</t>
  </si>
  <si>
    <t>MONTAGE TYPE</t>
  </si>
  <si>
    <t>INPUT</t>
  </si>
  <si>
    <t>VRIJE UITEINDEN SELECT</t>
  </si>
  <si>
    <t>#</t>
  </si>
  <si>
    <t>Fortification profile</t>
  </si>
  <si>
    <t>Fortification board</t>
  </si>
  <si>
    <t>KLEUREN</t>
  </si>
  <si>
    <t>KLEUREN PRIJS</t>
  </si>
  <si>
    <t>MONTAGE SELECT</t>
  </si>
  <si>
    <t>PART</t>
  </si>
  <si>
    <t>PRIJS EXCL</t>
  </si>
  <si>
    <t>Prijs zonder BTW</t>
  </si>
  <si>
    <t>Prijs met BTW</t>
  </si>
  <si>
    <t>PRIJS INCL</t>
  </si>
  <si>
    <t>PRODUCT</t>
  </si>
  <si>
    <t>configurator</t>
  </si>
  <si>
    <t>Selecteer uw taal</t>
  </si>
  <si>
    <t>Choisissez votre language</t>
  </si>
  <si>
    <t>Wählen Sie Ihre Sprache</t>
  </si>
  <si>
    <t>Select your language</t>
  </si>
  <si>
    <t>Prix sans TVA</t>
  </si>
  <si>
    <t>Prix avec TVA</t>
  </si>
  <si>
    <t>Preis ohne MwSt</t>
  </si>
  <si>
    <t>Preis mit MwSt</t>
  </si>
  <si>
    <t>Price without VAT</t>
  </si>
  <si>
    <t>Price with VAT</t>
  </si>
  <si>
    <t>Type installatie</t>
  </si>
  <si>
    <t>Art Bodenfixierung</t>
  </si>
  <si>
    <t>Type of mounting</t>
  </si>
  <si>
    <t>Nombre bouts libres</t>
  </si>
  <si>
    <t>Number of fences</t>
  </si>
  <si>
    <t>Anzahl rechte Pfosten</t>
  </si>
  <si>
    <t>Pfosten</t>
  </si>
  <si>
    <t>Paal</t>
  </si>
  <si>
    <t>Post</t>
  </si>
  <si>
    <t>Hoekpaal</t>
  </si>
  <si>
    <t>Eckpfosten</t>
  </si>
  <si>
    <t>Corner post</t>
  </si>
  <si>
    <t>Verankeringsvoet</t>
  </si>
  <si>
    <t>Verankerungsplatte</t>
  </si>
  <si>
    <t>Groundplate</t>
  </si>
  <si>
    <t>Verankeringsvoet hoek</t>
  </si>
  <si>
    <t>Verankerungsplatte Ecke</t>
  </si>
  <si>
    <t>Groundplate corner</t>
  </si>
  <si>
    <t>Afdekprofiel verticaal</t>
  </si>
  <si>
    <t>Recouvrement vertical</t>
  </si>
  <si>
    <t>Abdeckprofil vertikal</t>
  </si>
  <si>
    <t>Cover profile vertical</t>
  </si>
  <si>
    <t>Afdekprofiel horizontaal</t>
  </si>
  <si>
    <t>Recouvrement horizontal</t>
  </si>
  <si>
    <t>Abdeckprofil horizontal</t>
  </si>
  <si>
    <t>Cover profile horizontal</t>
  </si>
  <si>
    <t>Verstevigingsprofiel</t>
  </si>
  <si>
    <t>Profilé de renforcement</t>
  </si>
  <si>
    <t>Verstärkungsbrett</t>
  </si>
  <si>
    <t>Verstärkungsprofil</t>
  </si>
  <si>
    <t>Verstevigingsplank</t>
  </si>
  <si>
    <t>Planche de renforcement</t>
  </si>
  <si>
    <t>Ural Black</t>
  </si>
  <si>
    <t>Ash Grey</t>
  </si>
  <si>
    <t>Quartz Brown</t>
  </si>
  <si>
    <t>Sand Beige</t>
  </si>
  <si>
    <t>Atlas Beige</t>
  </si>
  <si>
    <t>?</t>
  </si>
  <si>
    <t>INPUT -</t>
  </si>
  <si>
    <t>INPUT +</t>
  </si>
  <si>
    <t>INPUT VARIABLE</t>
  </si>
  <si>
    <t>MONTAGE VARIABLE</t>
  </si>
  <si>
    <t>INPUT ?</t>
  </si>
  <si>
    <t>INPUT = Onvolledig</t>
  </si>
  <si>
    <t>INPUT = Incomplèt</t>
  </si>
  <si>
    <t>INPUT = Unvollstandig</t>
  </si>
  <si>
    <t>INPUT = Incomplete</t>
  </si>
  <si>
    <t>INPUT = Foutief</t>
  </si>
  <si>
    <t>INPUT = Fausse</t>
  </si>
  <si>
    <t>INPUT = Falsch</t>
  </si>
  <si>
    <t>INPUT = Wrong</t>
  </si>
  <si>
    <t>INPUT = Geldig</t>
  </si>
  <si>
    <t>INPUT = Valable</t>
  </si>
  <si>
    <t>INPUT = Gültig</t>
  </si>
  <si>
    <t>INPUT = Valid</t>
  </si>
  <si>
    <t>q</t>
  </si>
  <si>
    <t>Impress</t>
  </si>
  <si>
    <t>Ja</t>
  </si>
  <si>
    <t>Nee</t>
  </si>
  <si>
    <t>Oui</t>
  </si>
  <si>
    <t>Non</t>
  </si>
  <si>
    <t>Yes</t>
  </si>
  <si>
    <t>No</t>
  </si>
  <si>
    <t>Nein</t>
  </si>
  <si>
    <t>Deutsch</t>
  </si>
  <si>
    <t>Artikelreferentie</t>
  </si>
  <si>
    <t>Omschrijving 1 artik</t>
  </si>
  <si>
    <t>Besteld</t>
  </si>
  <si>
    <t>WPAPROFHORZ00321924</t>
  </si>
  <si>
    <t>Govawall plus alu afdekprofiel horizontaal 192,4 cm</t>
  </si>
  <si>
    <t>WPAPROFVERT00321805</t>
  </si>
  <si>
    <t>Govawall plus alu afdekprofiel vertikaal 180,5 cm</t>
  </si>
  <si>
    <t>WPKITCORIN</t>
  </si>
  <si>
    <t>Govawall Plus fixation kit corner in the ground</t>
  </si>
  <si>
    <t>WPKITCORON</t>
  </si>
  <si>
    <t>Govawall Plus fixation kit corner on the ground</t>
  </si>
  <si>
    <t>WPKITSTRIN</t>
  </si>
  <si>
    <t>Govawall Plus fixation kit straight in the ground</t>
  </si>
  <si>
    <t>WPKITSTRON</t>
  </si>
  <si>
    <t>Govawall Plus fixation kit straight on the ground</t>
  </si>
  <si>
    <t>WPPAALUCORIN2585</t>
  </si>
  <si>
    <t>Govawall Plus paal alu corner in grond 2585 mm</t>
  </si>
  <si>
    <t>WPPAALUCORON1785</t>
  </si>
  <si>
    <t>Govawall Plus paal alu corner op grond 1785 mm</t>
  </si>
  <si>
    <t>WPPAALUSTRIN2585</t>
  </si>
  <si>
    <t>Govawall Plus paal alu straight in grond 258,5 mm</t>
  </si>
  <si>
    <t>WPPAALUSTRON1785</t>
  </si>
  <si>
    <t>Govawall Plus paal alu straight op de grond 178,5 mm</t>
  </si>
  <si>
    <t>WPPLALUTG280901944</t>
  </si>
  <si>
    <t>Govawall Plus T/G plank alu 2,8 x9 x194,4 cm</t>
  </si>
  <si>
    <t>WPPLAN0281381920</t>
  </si>
  <si>
    <t>Govawall Plus T/G plank donker grijs 2,8 x13,8 x192 cm</t>
  </si>
  <si>
    <t>WPPLBE0281381920</t>
  </si>
  <si>
    <t>Govawall Plus T/G plank beige 2,8 x13,8 x192 cm</t>
  </si>
  <si>
    <t>WPPLDB0281381920</t>
  </si>
  <si>
    <t>Govawall Plus T/G plank donkerbruin 2,8 x13,8 x192 cm</t>
  </si>
  <si>
    <t>WPPLGS0281381920</t>
  </si>
  <si>
    <t>Govawall Plus T/G plank grijs 2,8 x13,8 x192 cm</t>
  </si>
  <si>
    <t>WPPLTA0281381920</t>
  </si>
  <si>
    <t>Govawall Plus T/G plank atlas beige 2,8 x13,8 x192 cm</t>
  </si>
  <si>
    <t>WPPLZW0281381920</t>
  </si>
  <si>
    <t>Govawall Plus T/G plank zwart 2,8 x13,8 x 192,0 cm</t>
  </si>
  <si>
    <t>WPTGPROF281944</t>
  </si>
  <si>
    <t>Govawall Plus verstevigingsprofiel 2,73cm x 194,4 cm</t>
  </si>
  <si>
    <t>DVIMPRESS</t>
  </si>
  <si>
    <t>DRUKINSTALWP20163</t>
  </si>
  <si>
    <t>Nombre poteaux</t>
  </si>
  <si>
    <t>Nombre poteaux angle</t>
  </si>
  <si>
    <t>Fixation</t>
  </si>
  <si>
    <t>Poteau</t>
  </si>
  <si>
    <t>Poteau angle</t>
  </si>
  <si>
    <t>Platine</t>
  </si>
  <si>
    <t>Platine angle</t>
  </si>
  <si>
    <t>Plank T/G</t>
  </si>
  <si>
    <t>Planche T/R</t>
  </si>
  <si>
    <t>Brett N/F</t>
  </si>
  <si>
    <t>Board T/G</t>
  </si>
  <si>
    <t>1,8m</t>
  </si>
  <si>
    <t>Installatie_OP_de_grond</t>
  </si>
  <si>
    <t>Installatie_IN_de_grond</t>
  </si>
  <si>
    <t>Poteau_dans_le_sol</t>
  </si>
  <si>
    <t>Montage_AUF_dem_Boden</t>
  </si>
  <si>
    <t>Montage_IN_den_Boden</t>
  </si>
  <si>
    <t>Mounting_ON_the_ground</t>
  </si>
  <si>
    <t>Mounting_IN_the_ground</t>
  </si>
  <si>
    <t>Hoogte</t>
  </si>
  <si>
    <t>Hauteur</t>
  </si>
  <si>
    <t>Höhe</t>
  </si>
  <si>
    <t>Height</t>
  </si>
  <si>
    <r>
      <t xml:space="preserve">Korting  </t>
    </r>
    <r>
      <rPr>
        <sz val="10"/>
        <rFont val="Calibri"/>
        <family val="2"/>
      </rPr>
      <t>&lt;</t>
    </r>
    <r>
      <rPr>
        <sz val="10"/>
        <rFont val="Arial"/>
        <family val="2"/>
      </rPr>
      <t xml:space="preserve"> 1 palet
Remise &lt; 1 palette
Rabatt &lt; 1 Palette
Discount &lt; 1 Palette</t>
    </r>
  </si>
  <si>
    <r>
      <t xml:space="preserve">Korting  </t>
    </r>
    <r>
      <rPr>
        <sz val="10"/>
        <rFont val="Calibri"/>
        <family val="2"/>
      </rPr>
      <t>≥</t>
    </r>
    <r>
      <rPr>
        <sz val="10"/>
        <rFont val="Arial"/>
        <family val="2"/>
      </rPr>
      <t xml:space="preserve"> 1 palet
Remise  ≥ 1 palette
Rabatt ≥ 1 Palette
Discount  ≥ 1 Palette</t>
    </r>
  </si>
  <si>
    <t>1,94m</t>
  </si>
  <si>
    <t>1,66m</t>
  </si>
  <si>
    <t xml:space="preserve">GovaWall </t>
  </si>
  <si>
    <t>Menge Wände</t>
  </si>
  <si>
    <t>Menge Pfosten</t>
  </si>
  <si>
    <t>Menge Eckpfosten</t>
  </si>
  <si>
    <t>Menge freie Ende</t>
  </si>
  <si>
    <t>Fixation_sur_platine</t>
  </si>
  <si>
    <t>Fixation kit recht_IN_de_grond</t>
  </si>
  <si>
    <t>Fixation kit recht_ OP_ de_ grond</t>
  </si>
  <si>
    <t>Accessoires poteau_dans_le_sol</t>
  </si>
  <si>
    <t>Accessoires fixation_sur_platine</t>
  </si>
  <si>
    <t>Fixation kit Montage_IN_den_Boden</t>
  </si>
  <si>
    <t>Fixation kit Mounting_ON_the_ground</t>
  </si>
  <si>
    <t>Fixation kit Mounting_IN_the_ground</t>
  </si>
  <si>
    <t>Fixation kit Montage_AUF_dem_Boden</t>
  </si>
  <si>
    <t>Fixation kit hoek_ OP_ de_ grond</t>
  </si>
  <si>
    <t>Fixation kit hoek_IN_de_grond</t>
  </si>
  <si>
    <t>Accessoires fixation angle_sur_platine</t>
  </si>
  <si>
    <t>Accessoires poteau angle_dans_le_sol</t>
  </si>
  <si>
    <t>Fixation kit corner_ON_the_ground</t>
  </si>
  <si>
    <t>Fixation kit corner_IN_the_ground</t>
  </si>
  <si>
    <t>Fixation kit Eckpfosten_AUF_dem_Boden</t>
  </si>
  <si>
    <t>Fixation kit Eckpfosten_IN_den_Boden</t>
  </si>
  <si>
    <t>,</t>
  </si>
  <si>
    <t>KLEUR PLANKEN</t>
  </si>
  <si>
    <t>KLEUR ALU</t>
  </si>
  <si>
    <t>Kleur planken</t>
  </si>
  <si>
    <t>Couleur tranches</t>
  </si>
  <si>
    <t>Colour boards</t>
  </si>
  <si>
    <t>Couleur ALU</t>
  </si>
  <si>
    <t>Colour ALU</t>
  </si>
  <si>
    <t>KLEUREN ALU</t>
  </si>
  <si>
    <t>Kleur ALU</t>
  </si>
  <si>
    <t>Farbe ALU</t>
  </si>
  <si>
    <t>Farbe bretter</t>
  </si>
  <si>
    <t>Neutral</t>
  </si>
  <si>
    <t>Black</t>
  </si>
  <si>
    <t>WPPAALUSTRON1785ZW</t>
  </si>
  <si>
    <t>WPPAALUSTRIN2585ZW</t>
  </si>
  <si>
    <t>WPPAALUCORON1785ZW</t>
  </si>
  <si>
    <t>WPPAALUCORIN2585ZW</t>
  </si>
  <si>
    <t>WPPLALUTG280901944ZW</t>
  </si>
  <si>
    <t>WPAPROFHORZ00321924ZW</t>
  </si>
  <si>
    <t>WPAPROFVERT00321805ZW                             </t>
  </si>
  <si>
    <t>WPKITSTRONZW</t>
  </si>
  <si>
    <t>WPKITSTRINZW</t>
  </si>
  <si>
    <t>WPKITCORONZW</t>
  </si>
  <si>
    <t>WPKITCORINZW</t>
  </si>
  <si>
    <t>Govawall Plus installatievoorschriften</t>
  </si>
  <si>
    <t>Govawall Paal Alu Str Op De Grond 178,5 Cm Zwart</t>
  </si>
  <si>
    <t>Govawall Paal Alu Straight In Grond 258,5 Cm Zwart</t>
  </si>
  <si>
    <t>Govawall Paal Alu Corner Op Grond 178,5 Cm Zwart</t>
  </si>
  <si>
    <t>Govawall Paal Alu Corner In Grond 258,5 Cm Zwart</t>
  </si>
  <si>
    <t>Govawall Verstevigingsplank Alu 2,8X9X194,6Cm Zwar</t>
  </si>
  <si>
    <t>Govawall Alu Afdekprof Horizontaal 192,4Cm Zwart</t>
  </si>
  <si>
    <t>Govawall Alu Afdekprofiel Vertikaal 180,5 Cm Zwart</t>
  </si>
  <si>
    <t>Govawall Fixation Kit Straight On The Ground Zwart</t>
  </si>
  <si>
    <t>Govawall Fixation Kit Straight In The Ground Zwart</t>
  </si>
  <si>
    <t>Govawall Fixation Kit Corner On The Ground Zwart</t>
  </si>
  <si>
    <t>Govawall Fixation Kit Corner In The Ground Zwart</t>
  </si>
  <si>
    <t>Colour</t>
  </si>
  <si>
    <t>version - 01/02/2021</t>
  </si>
  <si>
    <t>Categorie</t>
  </si>
  <si>
    <t>QPC</t>
  </si>
  <si>
    <t>Listprice</t>
  </si>
  <si>
    <t>PAAL</t>
  </si>
  <si>
    <t>HOEKPAAL</t>
  </si>
  <si>
    <t>AFDEK VERT</t>
  </si>
  <si>
    <t>AFDEK HOR</t>
  </si>
  <si>
    <t>FIX KIT CORN IN</t>
  </si>
  <si>
    <t>FIX KIT CONRNER ON</t>
  </si>
  <si>
    <t>FIX KIT CORNER ON</t>
  </si>
  <si>
    <t>FIX KIT STR IN</t>
  </si>
  <si>
    <t>H_DISC PR</t>
  </si>
  <si>
    <t>L_DISC_PR</t>
  </si>
  <si>
    <t>TOTAL PRICE</t>
  </si>
  <si>
    <t>L_D_QTY</t>
  </si>
  <si>
    <t>H_D_QTY</t>
  </si>
  <si>
    <t>VERST PLANK</t>
  </si>
  <si>
    <t>VERST PROF</t>
  </si>
  <si>
    <t>Brut 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</si>
</sst>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5"/>
      <color indexed="9"/>
      <name val="Arial"/>
      <family val="2"/>
    </font>
    <font>
      <b/>
      <sz val="12"/>
      <color indexed="9"/>
      <name val="Arial"/>
      <family val="2"/>
    </font>
    <font>
      <b/>
      <sz val="15"/>
      <name val="Arial"/>
      <family val="2"/>
    </font>
    <font>
      <u/>
      <sz val="10"/>
      <color theme="10"/>
      <name val="Arial"/>
      <family val="2"/>
    </font>
    <font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sz val="8"/>
      <color theme="0" tint="-4.9989318521683403E-2"/>
      <name val="Wingdings 3"/>
      <family val="1"/>
      <charset val="2"/>
    </font>
    <font>
      <sz val="8"/>
      <color theme="0"/>
      <name val="Wingdings 3"/>
      <family val="1"/>
      <charset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6"/>
      <color rgb="FF000000"/>
      <name val="Arial"/>
      <family val="2"/>
    </font>
    <font>
      <sz val="10"/>
      <name val="Calibri"/>
      <family val="2"/>
    </font>
    <font>
      <b/>
      <sz val="18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3" fillId="0" borderId="0"/>
  </cellStyleXfs>
  <cellXfs count="6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/>
    <xf numFmtId="0" fontId="3" fillId="4" borderId="1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right"/>
    </xf>
    <xf numFmtId="0" fontId="3" fillId="4" borderId="3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3" xfId="0" applyFont="1" applyFill="1" applyBorder="1"/>
    <xf numFmtId="0" fontId="3" fillId="4" borderId="7" xfId="0" applyFont="1" applyFill="1" applyBorder="1" applyAlignment="1">
      <alignment horizontal="right"/>
    </xf>
    <xf numFmtId="0" fontId="8" fillId="4" borderId="8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7" fillId="0" borderId="0" xfId="1"/>
    <xf numFmtId="0" fontId="0" fillId="0" borderId="0" xfId="0" applyFill="1"/>
    <xf numFmtId="0" fontId="0" fillId="0" borderId="0" xfId="0" applyProtection="1">
      <protection locked="0"/>
    </xf>
    <xf numFmtId="0" fontId="10" fillId="5" borderId="0" xfId="1" applyFont="1" applyFill="1" applyAlignment="1" applyProtection="1">
      <alignment horizontal="center" vertical="center"/>
      <protection locked="0"/>
    </xf>
    <xf numFmtId="0" fontId="11" fillId="5" borderId="0" xfId="1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/>
    <xf numFmtId="0" fontId="13" fillId="0" borderId="0" xfId="0" applyFont="1"/>
    <xf numFmtId="0" fontId="14" fillId="0" borderId="0" xfId="0" applyFont="1" applyFill="1" applyAlignment="1"/>
    <xf numFmtId="0" fontId="3" fillId="0" borderId="0" xfId="0" applyFont="1" applyFill="1"/>
    <xf numFmtId="10" fontId="4" fillId="3" borderId="8" xfId="0" applyNumberFormat="1" applyFont="1" applyFill="1" applyBorder="1" applyAlignment="1" applyProtection="1">
      <alignment horizontal="center" vertical="center"/>
      <protection locked="0"/>
    </xf>
    <xf numFmtId="0" fontId="3" fillId="4" borderId="8" xfId="2" applyFont="1" applyFill="1" applyBorder="1" applyAlignment="1">
      <alignment horizontal="right" vertical="center" wrapText="1"/>
    </xf>
    <xf numFmtId="0" fontId="3" fillId="0" borderId="5" xfId="0" applyFont="1" applyBorder="1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Border="1"/>
    <xf numFmtId="0" fontId="0" fillId="0" borderId="0" xfId="0" applyNumberFormat="1"/>
    <xf numFmtId="4" fontId="0" fillId="0" borderId="0" xfId="0" applyNumberFormat="1"/>
    <xf numFmtId="4" fontId="0" fillId="0" borderId="0" xfId="0" applyNumberFormat="1" applyFill="1"/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 applyProtection="1">
      <alignment horizontal="center" vertical="center"/>
      <protection locked="0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0" fontId="17" fillId="3" borderId="6" xfId="0" applyFont="1" applyFill="1" applyBorder="1" applyAlignment="1" applyProtection="1">
      <alignment horizontal="center" vertical="center"/>
      <protection locked="0"/>
    </xf>
    <xf numFmtId="0" fontId="3" fillId="4" borderId="4" xfId="2" applyFont="1" applyFill="1" applyBorder="1" applyAlignment="1">
      <alignment horizontal="right" vertical="center" wrapText="1"/>
    </xf>
    <xf numFmtId="0" fontId="3" fillId="4" borderId="5" xfId="2" applyFont="1" applyFill="1" applyBorder="1" applyAlignment="1">
      <alignment horizontal="right" vertical="center" wrapText="1"/>
    </xf>
    <xf numFmtId="0" fontId="3" fillId="4" borderId="6" xfId="2" applyFont="1" applyFill="1" applyBorder="1" applyAlignment="1">
      <alignment horizontal="right" vertical="center" wrapText="1"/>
    </xf>
    <xf numFmtId="10" fontId="4" fillId="3" borderId="4" xfId="0" applyNumberFormat="1" applyFont="1" applyFill="1" applyBorder="1" applyAlignment="1" applyProtection="1">
      <alignment horizontal="center" vertical="center"/>
      <protection locked="0"/>
    </xf>
    <xf numFmtId="10" fontId="4" fillId="3" borderId="5" xfId="0" applyNumberFormat="1" applyFont="1" applyFill="1" applyBorder="1" applyAlignment="1" applyProtection="1">
      <alignment horizontal="center" vertical="center"/>
      <protection locked="0"/>
    </xf>
    <xf numFmtId="10" fontId="4" fillId="3" borderId="6" xfId="0" applyNumberFormat="1" applyFont="1" applyFill="1" applyBorder="1" applyAlignment="1" applyProtection="1">
      <alignment horizontal="center" vertical="center"/>
      <protection locked="0"/>
    </xf>
  </cellXfs>
  <cellStyles count="3">
    <cellStyle name="Hyperlink" xfId="1" builtinId="8"/>
    <cellStyle name="Standaard" xfId="0" builtinId="0"/>
    <cellStyle name="Standaard 2" xfId="2" xr:uid="{00000000-0005-0000-0000-000002000000}"/>
  </cellStyles>
  <dxfs count="2">
    <dxf>
      <font>
        <b/>
        <i val="0"/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CONFIGURATOR!E30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</xdr:row>
      <xdr:rowOff>19050</xdr:rowOff>
    </xdr:from>
    <xdr:to>
      <xdr:col>1</xdr:col>
      <xdr:colOff>2028825</xdr:colOff>
      <xdr:row>7</xdr:row>
      <xdr:rowOff>85725</xdr:rowOff>
    </xdr:to>
    <xdr:pic>
      <xdr:nvPicPr>
        <xdr:cNvPr id="1122" name="Picture 3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342900"/>
          <a:ext cx="1981200" cy="8763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6</xdr:col>
      <xdr:colOff>169333</xdr:colOff>
      <xdr:row>1</xdr:row>
      <xdr:rowOff>148167</xdr:rowOff>
    </xdr:from>
    <xdr:to>
      <xdr:col>8</xdr:col>
      <xdr:colOff>12700</xdr:colOff>
      <xdr:row>24</xdr:row>
      <xdr:rowOff>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0944" y="310445"/>
          <a:ext cx="591256" cy="369005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29</xdr:row>
      <xdr:rowOff>0</xdr:rowOff>
    </xdr:from>
    <xdr:to>
      <xdr:col>5</xdr:col>
      <xdr:colOff>171474</xdr:colOff>
      <xdr:row>29</xdr:row>
      <xdr:rowOff>152421</xdr:rowOff>
    </xdr:to>
    <xdr:pic>
      <xdr:nvPicPr>
        <xdr:cNvPr id="3" name="Afbeelding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01833" y="4646083"/>
          <a:ext cx="171474" cy="152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450850</xdr:colOff>
          <xdr:row>25</xdr:row>
          <xdr:rowOff>12700</xdr:rowOff>
        </xdr:from>
        <xdr:to>
          <xdr:col>25</xdr:col>
          <xdr:colOff>412750</xdr:colOff>
          <xdr:row>38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41148" rIns="54864" bIns="41148" anchor="ctr" upright="1"/>
            <a:lstStyle/>
            <a:p>
              <a:pPr algn="ctr" rtl="0">
                <a:defRPr sz="1000"/>
              </a:pPr>
              <a:r>
                <a:rPr lang="nl-NL" sz="16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Boekingsbestand aanmaken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B2:R52"/>
  <sheetViews>
    <sheetView tabSelected="1" zoomScale="80" zoomScaleNormal="80" workbookViewId="0">
      <selection activeCell="E22" sqref="E22:E24"/>
    </sheetView>
  </sheetViews>
  <sheetFormatPr defaultRowHeight="12.5" x14ac:dyDescent="0.25"/>
  <cols>
    <col min="1" max="1" width="2.1796875" customWidth="1"/>
    <col min="2" max="2" width="31" customWidth="1"/>
    <col min="3" max="3" width="2.453125" customWidth="1"/>
    <col min="4" max="4" width="25.7265625" customWidth="1"/>
    <col min="5" max="5" width="30.54296875" style="3" customWidth="1"/>
    <col min="6" max="7" width="2.7265625" customWidth="1"/>
    <col min="8" max="8" width="8" customWidth="1"/>
    <col min="9" max="9" width="40.54296875" customWidth="1"/>
    <col min="10" max="10" width="13.54296875" bestFit="1" customWidth="1"/>
    <col min="11" max="11" width="11" style="3" customWidth="1"/>
  </cols>
  <sheetData>
    <row r="2" spans="2:18" ht="13" x14ac:dyDescent="0.3">
      <c r="B2" s="21" t="s">
        <v>33</v>
      </c>
      <c r="D2" s="2"/>
      <c r="E2" s="2" t="s">
        <v>20</v>
      </c>
      <c r="H2" s="1"/>
      <c r="I2" s="2" t="s">
        <v>28</v>
      </c>
      <c r="J2" s="2" t="s">
        <v>237</v>
      </c>
      <c r="K2" s="2" t="s">
        <v>22</v>
      </c>
    </row>
    <row r="3" spans="2:18" x14ac:dyDescent="0.25">
      <c r="B3" s="8"/>
      <c r="D3" s="14" t="s">
        <v>35</v>
      </c>
      <c r="E3" s="43" t="s">
        <v>1</v>
      </c>
      <c r="F3" s="28" t="s">
        <v>200</v>
      </c>
      <c r="G3" s="25"/>
      <c r="H3" s="4"/>
      <c r="I3" s="7"/>
      <c r="J3" s="7"/>
      <c r="K3" s="10"/>
    </row>
    <row r="4" spans="2:18" x14ac:dyDescent="0.25">
      <c r="B4" s="8"/>
      <c r="D4" s="15" t="s">
        <v>36</v>
      </c>
      <c r="E4" s="44"/>
      <c r="H4" s="5"/>
      <c r="I4" s="36" t="str">
        <f>IF(E3=DATA!A2,DATA!S2,IF(E3=DATA!A3,DATA!S3,IF(E3=DATA!A4,DATA!S4,IF(E3=DATA!A5,DATA!S5,"-"))))</f>
        <v>Paal</v>
      </c>
      <c r="J4" s="36" t="str">
        <f>E26</f>
        <v>Black</v>
      </c>
      <c r="K4" s="11">
        <f>E16</f>
        <v>1</v>
      </c>
    </row>
    <row r="5" spans="2:18" ht="14.25" customHeight="1" x14ac:dyDescent="0.25">
      <c r="B5" s="8"/>
      <c r="D5" s="15" t="s">
        <v>37</v>
      </c>
      <c r="E5" s="44"/>
      <c r="H5" s="6"/>
      <c r="I5" s="9"/>
      <c r="J5" s="9"/>
      <c r="K5" s="12"/>
      <c r="R5" s="13"/>
    </row>
    <row r="6" spans="2:18" x14ac:dyDescent="0.25">
      <c r="B6" s="8"/>
      <c r="D6" s="16" t="s">
        <v>38</v>
      </c>
      <c r="E6" s="45"/>
      <c r="H6" s="4"/>
      <c r="I6" s="7"/>
      <c r="J6" s="7"/>
      <c r="K6" s="10"/>
      <c r="R6" s="13"/>
    </row>
    <row r="7" spans="2:18" ht="17.25" customHeight="1" x14ac:dyDescent="0.25">
      <c r="B7" s="8"/>
      <c r="H7" s="5"/>
      <c r="I7" s="8" t="str">
        <f>IF(E3=DATA!A2,DATA!T2,IF(E3=DATA!A3,DATA!T3,IF(E3=DATA!A4,DATA!T4,IF(E3=DATA!A5,DATA!T5,"-"))))</f>
        <v>Hoekpaal</v>
      </c>
      <c r="J7" s="8" t="str">
        <f>E26</f>
        <v>Black</v>
      </c>
      <c r="K7" s="11">
        <f>E13</f>
        <v>1</v>
      </c>
      <c r="R7" s="13"/>
    </row>
    <row r="8" spans="2:18" ht="12.75" customHeight="1" x14ac:dyDescent="0.25">
      <c r="B8" s="8"/>
      <c r="D8" s="17"/>
      <c r="E8" s="43">
        <v>1</v>
      </c>
      <c r="H8" s="6"/>
      <c r="I8" s="9"/>
      <c r="J8" s="9"/>
      <c r="K8" s="12"/>
      <c r="R8" s="13"/>
    </row>
    <row r="9" spans="2:18" ht="12.75" customHeight="1" x14ac:dyDescent="0.25">
      <c r="B9" s="22" t="s">
        <v>178</v>
      </c>
      <c r="D9" s="15" t="str">
        <f>IF(E3=DATA!A2,DATA!B2,IF(E3=DATA!A3,DATA!B3,IF(E3=DATA!A4,DATA!B4,IF(E3=DATA!A5,DATA!B5,"-"))))</f>
        <v>Aantal schermen</v>
      </c>
      <c r="E9" s="44"/>
      <c r="H9" s="4"/>
      <c r="I9" s="7"/>
      <c r="J9" s="7"/>
      <c r="K9" s="10"/>
      <c r="R9" s="13"/>
    </row>
    <row r="10" spans="2:18" ht="12.75" customHeight="1" x14ac:dyDescent="0.25">
      <c r="B10" s="23" t="s">
        <v>34</v>
      </c>
      <c r="D10" s="18"/>
      <c r="E10" s="45"/>
      <c r="H10" s="5"/>
      <c r="I10" s="8" t="str">
        <f>IF(E3=DATA!A2,DATA!W2,IF(E3=DATA!A3,DATA!W3,IF(E3=DATA!A4,DATA!W4,IF(E3=DATA!A5,DATA!W5,"-"))))</f>
        <v>Afdekprofiel verticaal</v>
      </c>
      <c r="J10" s="8" t="str">
        <f>E26</f>
        <v>Black</v>
      </c>
      <c r="K10" s="11">
        <f>IF(E8&gt;0,2,0)</f>
        <v>2</v>
      </c>
      <c r="R10" s="13"/>
    </row>
    <row r="11" spans="2:18" ht="13.5" customHeight="1" x14ac:dyDescent="0.25">
      <c r="B11" s="8"/>
      <c r="H11" s="6"/>
      <c r="I11" s="9"/>
      <c r="J11" s="9"/>
      <c r="K11" s="12"/>
      <c r="R11" s="13"/>
    </row>
    <row r="12" spans="2:18" x14ac:dyDescent="0.25">
      <c r="B12" s="24" t="s">
        <v>238</v>
      </c>
      <c r="D12" s="19" t="str">
        <f>IF(E3=DATA!A2,DATA!C2,IF(E3=DATA!A3,DATA!C3,IF(E3=DATA!A4,DATA!C4,IF(E3=DATA!A5,DATA!C5,"-"))))</f>
        <v>Aantal palen</v>
      </c>
      <c r="E12" s="20">
        <f>IF(E8=0,0,E8+1)</f>
        <v>2</v>
      </c>
      <c r="H12" s="4"/>
      <c r="I12" s="7"/>
      <c r="J12" s="7"/>
      <c r="K12" s="10"/>
      <c r="R12" s="13"/>
    </row>
    <row r="13" spans="2:18" ht="12.75" customHeight="1" x14ac:dyDescent="0.25">
      <c r="B13" s="8"/>
      <c r="D13" s="17"/>
      <c r="E13" s="43">
        <v>1</v>
      </c>
      <c r="H13" s="5"/>
      <c r="I13" s="8" t="str">
        <f>IF(E3=DATA!A2,DATA!X2,IF(E3=DATA!A3,DATA!X3,IF(E3=DATA!A4,DATA!X4,IF(E3=DATA!A5,DATA!X5,"-"))))</f>
        <v>Afdekprofiel horizontaal</v>
      </c>
      <c r="J13" s="8" t="str">
        <f>E26</f>
        <v>Black</v>
      </c>
      <c r="K13" s="11">
        <f>E8</f>
        <v>1</v>
      </c>
    </row>
    <row r="14" spans="2:18" ht="12.75" customHeight="1" x14ac:dyDescent="0.25">
      <c r="B14" s="8"/>
      <c r="D14" s="15" t="str">
        <f>IF(E3=DATA!A2,DATA!D2,IF(E3=DATA!A3,DATA!D3,IF(E3=DATA!A4,DATA!D4,IF(E3=DATA!A5,DATA!D5,"-"))))</f>
        <v>Aantal hoekpalen</v>
      </c>
      <c r="E14" s="44"/>
      <c r="H14" s="6"/>
      <c r="I14" s="9"/>
      <c r="J14" s="9"/>
      <c r="K14" s="12"/>
    </row>
    <row r="15" spans="2:18" ht="12.75" customHeight="1" x14ac:dyDescent="0.25">
      <c r="B15" s="8"/>
      <c r="D15" s="18"/>
      <c r="E15" s="45"/>
      <c r="H15" s="4"/>
      <c r="I15" s="7"/>
      <c r="J15" s="7"/>
      <c r="K15" s="10"/>
    </row>
    <row r="16" spans="2:18" x14ac:dyDescent="0.25">
      <c r="B16" s="8"/>
      <c r="D16" s="19" t="str">
        <f>IF(E3=DATA!A2,DATA!E2,IF(E3=DATA!A3,DATA!E3,IF(E3=DATA!A4,DATA!E4,IF(E3=DATA!A5,DATA!E5,"-"))))</f>
        <v>Aantal rechte palen</v>
      </c>
      <c r="E16" s="20">
        <f>E12-E13</f>
        <v>1</v>
      </c>
      <c r="H16" s="5"/>
      <c r="I16" s="8" t="str">
        <f>IF(E3=DATA!A2,DATA!Y2,IF(E3=DATA!A3,DATA!Y3,IF(E3=DATA!A4,DATA!Y4,IF(E3=DATA!A5,DATA!Y5,"-"))))</f>
        <v>Plank T/G</v>
      </c>
      <c r="J16" s="8" t="str">
        <f>E22</f>
        <v>Ash Grey</v>
      </c>
      <c r="K16" s="11">
        <f>IF(E34=DATA!AK4,CONFIGURATOR!E8*11,IF(CONFIGURATOR!E34=DATA!AK3,CONFIGURATOR!E8*12,CONFIGURATOR!E8*13))</f>
        <v>13</v>
      </c>
    </row>
    <row r="17" spans="2:11" ht="13.5" customHeight="1" x14ac:dyDescent="0.25">
      <c r="B17" s="8"/>
      <c r="H17" s="6"/>
      <c r="I17" s="9"/>
      <c r="J17" s="9"/>
      <c r="K17" s="12"/>
    </row>
    <row r="18" spans="2:11" ht="12.75" customHeight="1" x14ac:dyDescent="0.25">
      <c r="B18" s="8"/>
      <c r="D18" s="17"/>
      <c r="E18" s="49" t="s">
        <v>164</v>
      </c>
      <c r="F18" s="28" t="s">
        <v>100</v>
      </c>
      <c r="H18" s="4"/>
      <c r="I18" s="7"/>
      <c r="J18" s="7"/>
      <c r="K18" s="10"/>
    </row>
    <row r="19" spans="2:11" ht="12.75" customHeight="1" x14ac:dyDescent="0.25">
      <c r="B19" s="8"/>
      <c r="D19" s="15" t="str">
        <f>IF(E3=DATA!A2,DATA!H2,IF(E3=DATA!A3,DATA!H3,IF(E3=DATA!A4,DATA!H4,IF(E3=DATA!A5,DATA!H5,"-"))))</f>
        <v>Type installatie</v>
      </c>
      <c r="E19" s="50"/>
      <c r="H19" s="5"/>
      <c r="I19" s="8" t="str">
        <f>IF(E3=DATA!A2,DATA!Z2,IF(E3=DATA!A3,DATA!Z3,IF(E3=DATA!A4,DATA!Z4,IF(E3=DATA!A5,DATA!Z5,"-"))))</f>
        <v>Verstevigingsprofiel</v>
      </c>
      <c r="J19" s="36" t="s">
        <v>212</v>
      </c>
      <c r="K19" s="11">
        <f>E8*4</f>
        <v>4</v>
      </c>
    </row>
    <row r="20" spans="2:11" ht="13.5" customHeight="1" x14ac:dyDescent="0.25">
      <c r="B20" s="8"/>
      <c r="D20" s="18"/>
      <c r="E20" s="51"/>
      <c r="F20" s="26"/>
      <c r="H20" s="6"/>
      <c r="I20" s="9"/>
      <c r="J20" s="9"/>
      <c r="K20" s="12"/>
    </row>
    <row r="21" spans="2:11" ht="12.75" customHeight="1" x14ac:dyDescent="0.25">
      <c r="B21" s="8"/>
      <c r="H21" s="4"/>
      <c r="I21" s="7"/>
      <c r="J21" s="7"/>
      <c r="K21" s="10"/>
    </row>
    <row r="22" spans="2:11" ht="12.75" customHeight="1" x14ac:dyDescent="0.25">
      <c r="B22" s="8"/>
      <c r="D22" s="17"/>
      <c r="E22" s="43" t="s">
        <v>78</v>
      </c>
      <c r="F22" s="28" t="s">
        <v>100</v>
      </c>
      <c r="H22" s="5"/>
      <c r="I22" s="8" t="str">
        <f>IF(E3=DATA!A2,DATA!AA2,IF(E3=DATA!A3,DATA!AA3,IF(E3=DATA!A4,DATA!AA4,IF(E3=DATA!A5,DATA!AA5,"-"))))</f>
        <v>Verstevigingsplank</v>
      </c>
      <c r="J22" s="8" t="str">
        <f>E26</f>
        <v>Black</v>
      </c>
      <c r="K22" s="11">
        <f>E8</f>
        <v>1</v>
      </c>
    </row>
    <row r="23" spans="2:11" ht="14.25" customHeight="1" x14ac:dyDescent="0.25">
      <c r="B23" s="8"/>
      <c r="D23" s="15" t="str">
        <f>IF($E$3=DATA!$A$2,DATA!K$2,IF($E$3=DATA!$A$3,DATA!K$3,IF($E$3=DATA!$A$4,DATA!K$4,IF($E$3=DATA!$A$5,DATA!K$5,"-"))))</f>
        <v>Kleur planken</v>
      </c>
      <c r="E23" s="44"/>
      <c r="H23" s="6"/>
      <c r="I23" s="9"/>
      <c r="J23" s="9"/>
      <c r="K23" s="12"/>
    </row>
    <row r="24" spans="2:11" x14ac:dyDescent="0.25">
      <c r="B24" s="9"/>
      <c r="D24" s="18"/>
      <c r="E24" s="45"/>
      <c r="H24" s="4"/>
      <c r="I24" s="7"/>
      <c r="J24" s="7"/>
      <c r="K24" s="10"/>
    </row>
    <row r="25" spans="2:11" x14ac:dyDescent="0.25">
      <c r="H25" s="5"/>
      <c r="I25" s="36" t="str">
        <f>IF(E3=DATA!A2,DATA!AS2,IF(E3=DATA!A3,DATA!AS4,IF(E3=DATA!A4,DATA!AS6,IF(E3=DATA!A5,DATA!AS8,"-"))))</f>
        <v>Fixation kit recht_ OP_ de_ grond</v>
      </c>
      <c r="J25" s="36" t="str">
        <f>E26</f>
        <v>Black</v>
      </c>
      <c r="K25" s="11">
        <f>IF(DATA!J2=1,E16,0)</f>
        <v>0</v>
      </c>
    </row>
    <row r="26" spans="2:11" ht="12.75" customHeight="1" x14ac:dyDescent="0.25">
      <c r="B26" s="37"/>
      <c r="D26" s="17"/>
      <c r="E26" s="49" t="s">
        <v>213</v>
      </c>
      <c r="F26" s="29" t="s">
        <v>100</v>
      </c>
      <c r="H26" s="6"/>
      <c r="I26" s="9"/>
      <c r="J26" s="9"/>
      <c r="K26" s="12"/>
    </row>
    <row r="27" spans="2:11" ht="12.75" customHeight="1" x14ac:dyDescent="0.25">
      <c r="D27" s="15" t="str">
        <f>IF($E$3=DATA!$A$2,DATA!N$2,IF($E$3=DATA!$A$3,DATA!N$3,IF($E$3=DATA!$A$4,DATA!N$4,IF($E$3=DATA!$A$5,DATA!N$5,"-"))))</f>
        <v>Kleur ALU</v>
      </c>
      <c r="E27" s="50"/>
      <c r="H27" s="4"/>
      <c r="I27" s="7"/>
      <c r="J27" s="7"/>
      <c r="K27" s="10"/>
    </row>
    <row r="28" spans="2:11" ht="12.75" customHeight="1" x14ac:dyDescent="0.25">
      <c r="D28" s="18"/>
      <c r="E28" s="51"/>
      <c r="G28" s="27"/>
      <c r="H28" s="5"/>
      <c r="I28" s="36" t="str">
        <f>IF(E3=DATA!A2,DATA!AS3,IF(E3=DATA!A3,DATA!AS5,IF(E3=DATA!A4,DATA!AS7,IF(E3=DATA!A5,DATA!AS9,"-"))))</f>
        <v>Fixation kit recht_IN_de_grond</v>
      </c>
      <c r="J28" s="36" t="str">
        <f>E26</f>
        <v>Black</v>
      </c>
      <c r="K28" s="11">
        <f>IF(DATA!J2=0,E16,0)</f>
        <v>1</v>
      </c>
    </row>
    <row r="29" spans="2:11" x14ac:dyDescent="0.25">
      <c r="F29" s="25"/>
      <c r="H29" s="6"/>
      <c r="I29" s="9"/>
      <c r="J29" s="9"/>
      <c r="K29" s="12"/>
    </row>
    <row r="30" spans="2:11" x14ac:dyDescent="0.25">
      <c r="D30" s="46" t="s">
        <v>101</v>
      </c>
      <c r="E30" s="43" t="s">
        <v>102</v>
      </c>
      <c r="H30" s="4"/>
      <c r="I30" s="7"/>
      <c r="J30" s="7"/>
      <c r="K30" s="10"/>
    </row>
    <row r="31" spans="2:11" ht="19.5" customHeight="1" x14ac:dyDescent="0.25">
      <c r="D31" s="47"/>
      <c r="E31" s="44"/>
      <c r="F31" s="25"/>
      <c r="H31" s="5"/>
      <c r="I31" s="36" t="str">
        <f>IF(E3=DATA!A2,DATA!AS11,IF(E3=DATA!A3,DATA!AS13,IF(E3=DATA!A4,DATA!AS15,IF(E3=DATA!A5,DATA!AS17,"-"))))</f>
        <v>Fixation kit hoek_ OP_ de_ grond</v>
      </c>
      <c r="J31" s="36" t="str">
        <f>E26</f>
        <v>Black</v>
      </c>
      <c r="K31" s="11">
        <f>IF(DATA!J2=1,E13,0)</f>
        <v>0</v>
      </c>
    </row>
    <row r="32" spans="2:11" ht="12.75" customHeight="1" x14ac:dyDescent="0.25">
      <c r="C32" s="25"/>
      <c r="D32" s="48"/>
      <c r="E32" s="45"/>
      <c r="H32" s="6"/>
      <c r="I32" s="9"/>
      <c r="J32" s="9"/>
      <c r="K32" s="12"/>
    </row>
    <row r="33" spans="2:11" ht="12.75" customHeight="1" x14ac:dyDescent="0.25">
      <c r="H33" s="4"/>
      <c r="I33" s="7"/>
      <c r="J33" s="7"/>
      <c r="K33" s="10"/>
    </row>
    <row r="34" spans="2:11" ht="17.25" customHeight="1" x14ac:dyDescent="0.25">
      <c r="D34" s="46" t="str">
        <f>IF(E3=DATA!A2,DATA!AJ2,IF(E3=DATA!A3,DATA!AJ3,IF(E3=DATA!A4,DATA!AJ4,IF(E3=DATA!A5,DATA!AJ5,"-"))))</f>
        <v>Hoogte</v>
      </c>
      <c r="E34" s="52" t="s">
        <v>176</v>
      </c>
      <c r="H34" s="5"/>
      <c r="I34" s="36" t="str">
        <f>IF(E3=DATA!A2,DATA!AS12,IF(E3=DATA!A3,DATA!AS14,IF(E3=DATA!A4,DATA!AS16,IF(E3=DATA!A5,DATA!AS18,"-"))))</f>
        <v>Fixation kit hoek_IN_de_grond</v>
      </c>
      <c r="J34" s="36" t="str">
        <f>E26</f>
        <v>Black</v>
      </c>
      <c r="K34" s="11">
        <f>IF(DATA!J2=0,E13,0)</f>
        <v>1</v>
      </c>
    </row>
    <row r="35" spans="2:11" x14ac:dyDescent="0.25">
      <c r="D35" s="47"/>
      <c r="E35" s="53"/>
      <c r="H35" s="6"/>
      <c r="I35" s="9"/>
      <c r="J35" s="9"/>
      <c r="K35" s="12"/>
    </row>
    <row r="36" spans="2:11" ht="19.5" customHeight="1" x14ac:dyDescent="0.25">
      <c r="D36" s="48"/>
      <c r="E36" s="54"/>
      <c r="H36" s="7"/>
      <c r="I36" s="7"/>
      <c r="J36" s="39"/>
      <c r="K36" s="10"/>
    </row>
    <row r="37" spans="2:11" ht="12.75" customHeight="1" x14ac:dyDescent="0.25">
      <c r="H37" s="8"/>
      <c r="I37" s="8" t="s">
        <v>101</v>
      </c>
      <c r="J37" s="39"/>
      <c r="K37" s="11">
        <f>IF(E30="Ja",K16,IF(E30="Yes",K16,IF(E30="Oui",K16,0)))</f>
        <v>13</v>
      </c>
    </row>
    <row r="38" spans="2:11" ht="15" customHeight="1" x14ac:dyDescent="0.25">
      <c r="D38" s="55" t="s">
        <v>175</v>
      </c>
      <c r="E38" s="58"/>
      <c r="H38" s="9"/>
      <c r="I38" s="9"/>
      <c r="J38" s="39"/>
      <c r="K38" s="12"/>
    </row>
    <row r="39" spans="2:11" x14ac:dyDescent="0.25">
      <c r="D39" s="56"/>
      <c r="E39" s="59"/>
      <c r="K39"/>
    </row>
    <row r="40" spans="2:11" ht="21.75" customHeight="1" x14ac:dyDescent="0.25">
      <c r="D40" s="57"/>
      <c r="E40" s="60"/>
      <c r="K40"/>
    </row>
    <row r="41" spans="2:11" x14ac:dyDescent="0.25">
      <c r="K41"/>
    </row>
    <row r="42" spans="2:11" x14ac:dyDescent="0.25">
      <c r="K42"/>
    </row>
    <row r="43" spans="2:11" ht="50.5" x14ac:dyDescent="0.25">
      <c r="D43" s="35" t="s">
        <v>174</v>
      </c>
      <c r="E43" s="34"/>
      <c r="K43"/>
    </row>
    <row r="48" spans="2:11" ht="39" customHeight="1" x14ac:dyDescent="0.25">
      <c r="B48" s="13"/>
    </row>
    <row r="50" ht="39" customHeight="1" x14ac:dyDescent="0.25"/>
    <row r="52" ht="39" customHeight="1" x14ac:dyDescent="0.25"/>
  </sheetData>
  <sheetProtection selectLockedCells="1"/>
  <mergeCells count="12">
    <mergeCell ref="D34:D36"/>
    <mergeCell ref="E34:E36"/>
    <mergeCell ref="D38:D40"/>
    <mergeCell ref="E38:E40"/>
    <mergeCell ref="E3:E6"/>
    <mergeCell ref="E8:E10"/>
    <mergeCell ref="E30:E32"/>
    <mergeCell ref="D30:D32"/>
    <mergeCell ref="E22:E24"/>
    <mergeCell ref="E18:E20"/>
    <mergeCell ref="E13:E15"/>
    <mergeCell ref="E26:E28"/>
  </mergeCells>
  <phoneticPr fontId="2" type="noConversion"/>
  <conditionalFormatting sqref="E13:E15">
    <cfRule type="cellIs" dxfId="1" priority="13" operator="greaterThan">
      <formula>$E$12</formula>
    </cfRule>
  </conditionalFormatting>
  <conditionalFormatting sqref="J3:J14 J21:J35">
    <cfRule type="expression" dxfId="0" priority="1">
      <formula>$E$26="Black"</formula>
    </cfRule>
  </conditionalFormatting>
  <dataValidations count="5">
    <dataValidation type="list" allowBlank="1" showInputMessage="1" showErrorMessage="1" sqref="E3" xr:uid="{00000000-0002-0000-0000-000000000000}">
      <formula1>TALEN</formula1>
    </dataValidation>
    <dataValidation type="list" allowBlank="1" showInputMessage="1" showErrorMessage="1" sqref="E30" xr:uid="{00000000-0002-0000-0000-000001000000}">
      <formula1>INDIRECT($E$3)</formula1>
    </dataValidation>
    <dataValidation type="list" allowBlank="1" showInputMessage="1" showErrorMessage="1" sqref="E34:E36" xr:uid="{00000000-0002-0000-0000-000002000000}">
      <formula1>INDIRECT($E$18)</formula1>
    </dataValidation>
    <dataValidation type="list" allowBlank="1" showInputMessage="1" showErrorMessage="1" sqref="E22:E25" xr:uid="{00000000-0002-0000-0000-000003000000}">
      <formula1>KLEUREN</formula1>
    </dataValidation>
    <dataValidation type="list" allowBlank="1" showInputMessage="1" showErrorMessage="1" sqref="E26:E28" xr:uid="{00000000-0002-0000-0000-000004000000}">
      <formula1>KLEURENALU</formula1>
    </dataValidation>
  </dataValidations>
  <hyperlinks>
    <hyperlink ref="F22" location="CONFIGURATOR!E22" display="q" xr:uid="{00000000-0004-0000-0000-000000000000}"/>
    <hyperlink ref="F3" location="CONFIGURATOR!E3" display="q" xr:uid="{00000000-0004-0000-0000-000001000000}"/>
    <hyperlink ref="F18" location="CONFIGURATOR!E18" display="q" xr:uid="{00000000-0004-0000-0000-000002000000}"/>
    <hyperlink ref="F26" location="CONFIGURATOR!E26" display="q" xr:uid="{00000000-0004-0000-0000-000003000000}"/>
  </hyperlinks>
  <pageMargins left="0.75" right="0.75" top="1" bottom="1" header="0.5" footer="0.5"/>
  <pageSetup paperSize="9" scale="58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INDIRECT(DATA!$A$11)</xm:f>
          </x14:formula1>
          <xm:sqref>E18:E20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AS18"/>
  <sheetViews>
    <sheetView topLeftCell="G1" workbookViewId="0">
      <selection activeCell="M9" sqref="M9"/>
    </sheetView>
  </sheetViews>
  <sheetFormatPr defaultRowHeight="12.5" x14ac:dyDescent="0.25"/>
  <cols>
    <col min="1" max="1" width="10.26953125" bestFit="1" customWidth="1"/>
    <col min="2" max="2" width="22.81640625" bestFit="1" customWidth="1"/>
    <col min="3" max="3" width="16.26953125" bestFit="1" customWidth="1"/>
    <col min="4" max="4" width="23.1796875" bestFit="1" customWidth="1"/>
    <col min="5" max="5" width="21.7265625" bestFit="1" customWidth="1"/>
    <col min="6" max="6" width="20.453125" bestFit="1" customWidth="1"/>
    <col min="7" max="7" width="24.7265625" bestFit="1" customWidth="1"/>
    <col min="8" max="8" width="16.453125" bestFit="1" customWidth="1"/>
    <col min="9" max="9" width="22.81640625" bestFit="1" customWidth="1"/>
    <col min="10" max="10" width="20.453125" bestFit="1" customWidth="1"/>
    <col min="11" max="11" width="20" customWidth="1"/>
    <col min="12" max="12" width="10.81640625" bestFit="1" customWidth="1"/>
    <col min="13" max="13" width="15.7265625" bestFit="1" customWidth="1"/>
    <col min="14" max="15" width="15.7265625" customWidth="1"/>
    <col min="16" max="16" width="19.7265625" bestFit="1" customWidth="1"/>
    <col min="17" max="17" width="16.54296875" bestFit="1" customWidth="1"/>
    <col min="18" max="18" width="14" bestFit="1" customWidth="1"/>
    <col min="19" max="19" width="7.26953125" bestFit="1" customWidth="1"/>
    <col min="20" max="20" width="10.54296875" bestFit="1" customWidth="1"/>
    <col min="21" max="21" width="17.26953125" bestFit="1" customWidth="1"/>
    <col min="22" max="22" width="22.26953125" bestFit="1" customWidth="1"/>
    <col min="23" max="23" width="19.26953125" bestFit="1" customWidth="1"/>
    <col min="24" max="24" width="21.7265625" bestFit="1" customWidth="1"/>
    <col min="25" max="25" width="7.7265625" bestFit="1" customWidth="1"/>
    <col min="26" max="26" width="20.26953125" bestFit="1" customWidth="1"/>
    <col min="27" max="27" width="22" bestFit="1" customWidth="1"/>
    <col min="28" max="28" width="22" customWidth="1"/>
    <col min="29" max="29" width="16.26953125" customWidth="1"/>
    <col min="30" max="30" width="21.81640625" customWidth="1"/>
    <col min="31" max="31" width="14.81640625" bestFit="1" customWidth="1"/>
    <col min="32" max="32" width="11.26953125" bestFit="1" customWidth="1"/>
  </cols>
  <sheetData>
    <row r="1" spans="1:45" s="1" customFormat="1" ht="13" x14ac:dyDescent="0.3">
      <c r="A1" s="1" t="s">
        <v>0</v>
      </c>
      <c r="B1" s="1" t="s">
        <v>10</v>
      </c>
      <c r="C1" s="1" t="s">
        <v>11</v>
      </c>
      <c r="D1" s="1" t="s">
        <v>12</v>
      </c>
      <c r="E1" s="1" t="s">
        <v>13</v>
      </c>
      <c r="F1" s="1" t="s">
        <v>16</v>
      </c>
      <c r="G1" s="1" t="s">
        <v>21</v>
      </c>
      <c r="H1" s="1" t="s">
        <v>19</v>
      </c>
      <c r="I1" s="1" t="s">
        <v>27</v>
      </c>
      <c r="J1" s="1" t="s">
        <v>86</v>
      </c>
      <c r="K1" s="1" t="s">
        <v>201</v>
      </c>
      <c r="L1" s="1" t="s">
        <v>25</v>
      </c>
      <c r="M1" s="1" t="s">
        <v>26</v>
      </c>
      <c r="N1" s="1" t="s">
        <v>202</v>
      </c>
      <c r="O1" s="1" t="s">
        <v>208</v>
      </c>
      <c r="P1" s="1" t="s">
        <v>82</v>
      </c>
      <c r="Q1" s="1" t="s">
        <v>29</v>
      </c>
      <c r="R1" s="1" t="s">
        <v>32</v>
      </c>
      <c r="AB1" s="1" t="s">
        <v>85</v>
      </c>
      <c r="AC1" s="1" t="s">
        <v>83</v>
      </c>
      <c r="AD1" s="1" t="s">
        <v>87</v>
      </c>
      <c r="AE1" s="1" t="s">
        <v>84</v>
      </c>
      <c r="AF1" s="1" t="s">
        <v>1</v>
      </c>
      <c r="AG1" s="1" t="s">
        <v>2</v>
      </c>
      <c r="AH1" s="1" t="s">
        <v>109</v>
      </c>
      <c r="AI1" s="1" t="s">
        <v>3</v>
      </c>
    </row>
    <row r="2" spans="1:45" x14ac:dyDescent="0.25">
      <c r="A2" t="s">
        <v>1</v>
      </c>
      <c r="B2" t="s">
        <v>4</v>
      </c>
      <c r="C2" t="s">
        <v>6</v>
      </c>
      <c r="D2" t="s">
        <v>8</v>
      </c>
      <c r="E2" t="s">
        <v>14</v>
      </c>
      <c r="F2" t="s">
        <v>17</v>
      </c>
      <c r="G2">
        <v>0</v>
      </c>
      <c r="H2" t="s">
        <v>45</v>
      </c>
      <c r="I2" t="s">
        <v>163</v>
      </c>
      <c r="J2">
        <f>IF(OR(CONFIGURATOR!E18=I2,CONFIGURATOR!E18=I4,CONFIGURATOR!E18=I6,CONFIGURATOR!E18=I8)=TRUE,1,IF(OR(CONFIGURATOR!E18=I3,CONFIGURATOR!E18=I5,CONFIGURATOR!E18=I7,CONFIGURATOR!E18=I9)=TRUE,0,"-"))</f>
        <v>0</v>
      </c>
      <c r="K2" s="13" t="s">
        <v>203</v>
      </c>
      <c r="L2" t="s">
        <v>77</v>
      </c>
      <c r="M2">
        <v>14.12</v>
      </c>
      <c r="N2" s="13" t="s">
        <v>209</v>
      </c>
      <c r="O2" s="13" t="s">
        <v>212</v>
      </c>
      <c r="Q2" s="13" t="s">
        <v>30</v>
      </c>
      <c r="R2" s="13" t="s">
        <v>31</v>
      </c>
      <c r="S2" s="13" t="s">
        <v>52</v>
      </c>
      <c r="T2" s="13" t="s">
        <v>54</v>
      </c>
      <c r="U2" s="13" t="s">
        <v>57</v>
      </c>
      <c r="V2" s="13" t="s">
        <v>60</v>
      </c>
      <c r="W2" s="13" t="s">
        <v>63</v>
      </c>
      <c r="X2" s="13" t="s">
        <v>67</v>
      </c>
      <c r="Y2" s="13" t="s">
        <v>158</v>
      </c>
      <c r="Z2" s="13" t="s">
        <v>71</v>
      </c>
      <c r="AA2" s="13" t="s">
        <v>75</v>
      </c>
      <c r="AB2" s="13">
        <f>IF(CONFIGURATOR!E13&gt;CONFIGURATOR!E12,-1,IF(OR(CONFIGURATOR!E18="",CONFIGURATOR!E22="",CONFIGURATOR!E26=""),0,1))</f>
        <v>1</v>
      </c>
      <c r="AC2" s="13" t="s">
        <v>92</v>
      </c>
      <c r="AD2" s="13" t="s">
        <v>88</v>
      </c>
      <c r="AE2" s="13" t="s">
        <v>96</v>
      </c>
      <c r="AF2" s="13" t="s">
        <v>102</v>
      </c>
      <c r="AG2" s="13" t="s">
        <v>104</v>
      </c>
      <c r="AH2" s="13" t="s">
        <v>102</v>
      </c>
      <c r="AI2" s="13" t="s">
        <v>106</v>
      </c>
      <c r="AJ2" s="13" t="s">
        <v>170</v>
      </c>
      <c r="AK2" s="13" t="s">
        <v>176</v>
      </c>
      <c r="AL2" s="13" t="s">
        <v>176</v>
      </c>
      <c r="AM2" s="13" t="s">
        <v>176</v>
      </c>
      <c r="AN2" s="13" t="s">
        <v>176</v>
      </c>
      <c r="AO2" s="13" t="s">
        <v>162</v>
      </c>
      <c r="AP2" s="13" t="s">
        <v>162</v>
      </c>
      <c r="AQ2" s="13" t="s">
        <v>162</v>
      </c>
      <c r="AR2" s="13" t="s">
        <v>162</v>
      </c>
      <c r="AS2" s="13" t="s">
        <v>185</v>
      </c>
    </row>
    <row r="3" spans="1:45" x14ac:dyDescent="0.25">
      <c r="A3" t="s">
        <v>2</v>
      </c>
      <c r="B3" t="s">
        <v>5</v>
      </c>
      <c r="C3" s="13" t="s">
        <v>151</v>
      </c>
      <c r="D3" s="13" t="s">
        <v>152</v>
      </c>
      <c r="E3" s="13" t="s">
        <v>151</v>
      </c>
      <c r="F3" t="s">
        <v>48</v>
      </c>
      <c r="G3">
        <v>1</v>
      </c>
      <c r="H3" s="13" t="s">
        <v>153</v>
      </c>
      <c r="I3" t="s">
        <v>164</v>
      </c>
      <c r="K3" s="13" t="s">
        <v>204</v>
      </c>
      <c r="L3" t="s">
        <v>78</v>
      </c>
      <c r="M3">
        <v>14.12</v>
      </c>
      <c r="N3" s="13" t="s">
        <v>206</v>
      </c>
      <c r="O3" s="13" t="s">
        <v>213</v>
      </c>
      <c r="Q3" s="13" t="s">
        <v>39</v>
      </c>
      <c r="R3" s="13" t="s">
        <v>40</v>
      </c>
      <c r="S3" s="13" t="s">
        <v>154</v>
      </c>
      <c r="T3" s="13" t="s">
        <v>155</v>
      </c>
      <c r="U3" s="13" t="s">
        <v>156</v>
      </c>
      <c r="V3" s="13" t="s">
        <v>157</v>
      </c>
      <c r="W3" s="13" t="s">
        <v>64</v>
      </c>
      <c r="X3" s="13" t="s">
        <v>68</v>
      </c>
      <c r="Y3" s="13" t="s">
        <v>159</v>
      </c>
      <c r="Z3" s="13" t="s">
        <v>72</v>
      </c>
      <c r="AA3" s="13" t="s">
        <v>76</v>
      </c>
      <c r="AB3" s="13"/>
      <c r="AC3" s="13" t="s">
        <v>93</v>
      </c>
      <c r="AD3" s="13" t="s">
        <v>89</v>
      </c>
      <c r="AE3" s="13" t="s">
        <v>97</v>
      </c>
      <c r="AF3" s="13" t="s">
        <v>103</v>
      </c>
      <c r="AG3" s="13" t="s">
        <v>105</v>
      </c>
      <c r="AH3" s="13" t="s">
        <v>108</v>
      </c>
      <c r="AI3" s="13" t="s">
        <v>107</v>
      </c>
      <c r="AJ3" s="13" t="s">
        <v>171</v>
      </c>
      <c r="AK3" s="13" t="s">
        <v>162</v>
      </c>
      <c r="AL3" s="13" t="s">
        <v>162</v>
      </c>
      <c r="AM3" s="13" t="s">
        <v>162</v>
      </c>
      <c r="AN3" s="13" t="s">
        <v>162</v>
      </c>
      <c r="AO3" s="13" t="s">
        <v>177</v>
      </c>
      <c r="AP3" s="13" t="s">
        <v>177</v>
      </c>
      <c r="AQ3" s="13" t="s">
        <v>177</v>
      </c>
      <c r="AR3" s="13" t="s">
        <v>177</v>
      </c>
      <c r="AS3" s="13" t="s">
        <v>184</v>
      </c>
    </row>
    <row r="4" spans="1:45" x14ac:dyDescent="0.25">
      <c r="A4" t="s">
        <v>109</v>
      </c>
      <c r="B4" s="13" t="s">
        <v>179</v>
      </c>
      <c r="C4" s="13" t="s">
        <v>180</v>
      </c>
      <c r="D4" s="13" t="s">
        <v>181</v>
      </c>
      <c r="E4" s="13" t="s">
        <v>50</v>
      </c>
      <c r="F4" s="13" t="s">
        <v>182</v>
      </c>
      <c r="G4">
        <v>2</v>
      </c>
      <c r="H4" t="s">
        <v>46</v>
      </c>
      <c r="I4" s="13" t="s">
        <v>183</v>
      </c>
      <c r="K4" s="13" t="s">
        <v>211</v>
      </c>
      <c r="L4" t="s">
        <v>79</v>
      </c>
      <c r="M4">
        <v>14.86</v>
      </c>
      <c r="N4" s="13" t="s">
        <v>210</v>
      </c>
      <c r="O4" s="13"/>
      <c r="Q4" s="13" t="s">
        <v>41</v>
      </c>
      <c r="R4" s="13" t="s">
        <v>42</v>
      </c>
      <c r="S4" s="13" t="s">
        <v>51</v>
      </c>
      <c r="T4" s="13" t="s">
        <v>55</v>
      </c>
      <c r="U4" s="13" t="s">
        <v>58</v>
      </c>
      <c r="V4" s="13" t="s">
        <v>61</v>
      </c>
      <c r="W4" s="13" t="s">
        <v>65</v>
      </c>
      <c r="X4" s="13" t="s">
        <v>69</v>
      </c>
      <c r="Y4" s="13" t="s">
        <v>160</v>
      </c>
      <c r="Z4" s="13" t="s">
        <v>74</v>
      </c>
      <c r="AA4" s="13" t="s">
        <v>73</v>
      </c>
      <c r="AB4" s="13"/>
      <c r="AC4" s="13" t="s">
        <v>94</v>
      </c>
      <c r="AD4" s="13" t="s">
        <v>90</v>
      </c>
      <c r="AE4" s="13" t="s">
        <v>98</v>
      </c>
      <c r="AJ4" s="13" t="s">
        <v>172</v>
      </c>
      <c r="AK4" s="13" t="s">
        <v>177</v>
      </c>
      <c r="AL4" s="13" t="s">
        <v>177</v>
      </c>
      <c r="AM4" s="13" t="s">
        <v>177</v>
      </c>
      <c r="AN4" s="13" t="s">
        <v>177</v>
      </c>
      <c r="AS4" s="13" t="s">
        <v>187</v>
      </c>
    </row>
    <row r="5" spans="1:45" x14ac:dyDescent="0.25">
      <c r="A5" t="s">
        <v>3</v>
      </c>
      <c r="B5" t="s">
        <v>49</v>
      </c>
      <c r="C5" t="s">
        <v>7</v>
      </c>
      <c r="D5" t="s">
        <v>9</v>
      </c>
      <c r="E5" t="s">
        <v>15</v>
      </c>
      <c r="F5" t="s">
        <v>18</v>
      </c>
      <c r="H5" t="s">
        <v>47</v>
      </c>
      <c r="I5" s="13" t="s">
        <v>165</v>
      </c>
      <c r="K5" s="13" t="s">
        <v>205</v>
      </c>
      <c r="L5" t="s">
        <v>80</v>
      </c>
      <c r="M5">
        <v>18.440000000000001</v>
      </c>
      <c r="N5" s="13" t="s">
        <v>207</v>
      </c>
      <c r="O5" s="13"/>
      <c r="Q5" s="13" t="s">
        <v>43</v>
      </c>
      <c r="R5" s="13" t="s">
        <v>44</v>
      </c>
      <c r="S5" s="13" t="s">
        <v>53</v>
      </c>
      <c r="T5" s="13" t="s">
        <v>56</v>
      </c>
      <c r="U5" s="13" t="s">
        <v>59</v>
      </c>
      <c r="V5" s="13" t="s">
        <v>62</v>
      </c>
      <c r="W5" s="13" t="s">
        <v>66</v>
      </c>
      <c r="X5" s="13" t="s">
        <v>70</v>
      </c>
      <c r="Y5" s="13" t="s">
        <v>161</v>
      </c>
      <c r="Z5" s="13" t="s">
        <v>23</v>
      </c>
      <c r="AA5" s="13" t="s">
        <v>24</v>
      </c>
      <c r="AB5" s="13"/>
      <c r="AC5" s="13" t="s">
        <v>95</v>
      </c>
      <c r="AD5" s="13" t="s">
        <v>91</v>
      </c>
      <c r="AE5" s="13" t="s">
        <v>99</v>
      </c>
      <c r="AJ5" s="13" t="s">
        <v>173</v>
      </c>
      <c r="AS5" s="13" t="s">
        <v>186</v>
      </c>
    </row>
    <row r="6" spans="1:45" x14ac:dyDescent="0.25">
      <c r="I6" t="s">
        <v>166</v>
      </c>
      <c r="L6" t="s">
        <v>81</v>
      </c>
      <c r="M6">
        <v>16.27</v>
      </c>
      <c r="AS6" t="s">
        <v>191</v>
      </c>
    </row>
    <row r="7" spans="1:45" x14ac:dyDescent="0.25">
      <c r="I7" t="s">
        <v>167</v>
      </c>
      <c r="AS7" t="s">
        <v>188</v>
      </c>
    </row>
    <row r="8" spans="1:45" x14ac:dyDescent="0.25">
      <c r="I8" t="s">
        <v>168</v>
      </c>
      <c r="AJ8" s="13"/>
      <c r="AS8" t="s">
        <v>189</v>
      </c>
    </row>
    <row r="9" spans="1:45" x14ac:dyDescent="0.25">
      <c r="I9" t="s">
        <v>169</v>
      </c>
      <c r="AJ9" s="13"/>
      <c r="AS9" t="s">
        <v>190</v>
      </c>
    </row>
    <row r="10" spans="1:45" x14ac:dyDescent="0.25">
      <c r="AJ10" s="13"/>
    </row>
    <row r="11" spans="1:45" x14ac:dyDescent="0.25">
      <c r="A11" t="str">
        <f>IF(CONFIGURATOR!$E$3=DATA!A2,"MONTAGE_NL",IF(CONFIGURATOR!$E$3=DATA!A3,"MONTAGE_FR",IF(CONFIGURATOR!$E$3=DATA!A4,"MONTAGE_D","MONTAGE_ENG")))</f>
        <v>MONTAGE_NL</v>
      </c>
      <c r="AJ11" s="13"/>
      <c r="AS11" s="13" t="s">
        <v>192</v>
      </c>
    </row>
    <row r="12" spans="1:45" x14ac:dyDescent="0.25">
      <c r="AS12" s="13" t="s">
        <v>193</v>
      </c>
    </row>
    <row r="13" spans="1:45" x14ac:dyDescent="0.25">
      <c r="AS13" s="13" t="s">
        <v>194</v>
      </c>
    </row>
    <row r="14" spans="1:45" x14ac:dyDescent="0.25">
      <c r="AS14" s="13" t="s">
        <v>195</v>
      </c>
    </row>
    <row r="15" spans="1:45" x14ac:dyDescent="0.25">
      <c r="AS15" s="13" t="s">
        <v>198</v>
      </c>
    </row>
    <row r="16" spans="1:45" x14ac:dyDescent="0.25">
      <c r="AS16" s="13" t="s">
        <v>199</v>
      </c>
    </row>
    <row r="17" spans="45:45" x14ac:dyDescent="0.25">
      <c r="AS17" s="13" t="s">
        <v>196</v>
      </c>
    </row>
    <row r="18" spans="45:45" x14ac:dyDescent="0.25">
      <c r="AS18" s="13" t="s">
        <v>197</v>
      </c>
    </row>
  </sheetData>
  <sheetProtection selectLockedCells="1" selectUnlockedCells="1"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N48"/>
  <sheetViews>
    <sheetView workbookViewId="0">
      <selection activeCell="C12" sqref="C12"/>
    </sheetView>
  </sheetViews>
  <sheetFormatPr defaultRowHeight="12.5" x14ac:dyDescent="0.25"/>
  <cols>
    <col min="1" max="1" width="20.1796875" bestFit="1" customWidth="1"/>
    <col min="2" max="2" width="30.7265625" customWidth="1"/>
    <col min="3" max="3" width="48.54296875" bestFit="1" customWidth="1"/>
    <col min="4" max="4" width="9.453125" bestFit="1" customWidth="1"/>
    <col min="5" max="5" width="8.7265625" bestFit="1" customWidth="1"/>
    <col min="6" max="6" width="5" bestFit="1" customWidth="1"/>
    <col min="7" max="7" width="8.1796875" bestFit="1" customWidth="1"/>
    <col min="8" max="8" width="9.26953125" bestFit="1" customWidth="1"/>
    <col min="9" max="9" width="9.1796875" bestFit="1" customWidth="1"/>
    <col min="10" max="10" width="10.81640625" bestFit="1" customWidth="1"/>
    <col min="11" max="11" width="11.1796875" bestFit="1" customWidth="1"/>
    <col min="12" max="12" width="13.453125" bestFit="1" customWidth="1"/>
  </cols>
  <sheetData>
    <row r="1" spans="1:14" ht="13" x14ac:dyDescent="0.3">
      <c r="A1" s="31" t="s">
        <v>239</v>
      </c>
      <c r="B1" s="30" t="s">
        <v>110</v>
      </c>
      <c r="C1" s="30" t="s">
        <v>111</v>
      </c>
      <c r="D1" s="31" t="s">
        <v>112</v>
      </c>
      <c r="E1" s="31" t="s">
        <v>241</v>
      </c>
      <c r="F1" s="31" t="s">
        <v>240</v>
      </c>
      <c r="G1" s="31" t="s">
        <v>257</v>
      </c>
      <c r="H1" s="31" t="s">
        <v>254</v>
      </c>
      <c r="I1" s="31" t="s">
        <v>253</v>
      </c>
      <c r="J1" s="31" t="s">
        <v>250</v>
      </c>
      <c r="K1" s="31" t="s">
        <v>251</v>
      </c>
      <c r="L1" s="31" t="s">
        <v>252</v>
      </c>
    </row>
    <row r="2" spans="1:14" x14ac:dyDescent="0.25">
      <c r="A2" s="13" t="s">
        <v>242</v>
      </c>
      <c r="B2" s="32" t="s">
        <v>129</v>
      </c>
      <c r="C2" s="32" t="s">
        <v>130</v>
      </c>
      <c r="D2" s="13">
        <f>IF(CONFIGURATOR!$E$26="Neutral",IF(CONFIGURATOR!$E$18="Poteau_dans_le_sol",CONFIGURATOR!$K$4,IF(CONFIGURATOR!$E$18="Installatie_IN_de_grond",CONFIGURATOR!$K$4,IF(CONFIGURATOR!$E$18="Mounting_IN_the_ground",CONFIGURATOR!$K$4,IF(CONFIGURATOR!$E$18="Montage_IN_den_Boden",CONFIGURATOR!$K$4,0)))),0)</f>
        <v>0</v>
      </c>
      <c r="E2" s="26">
        <v>93.5</v>
      </c>
      <c r="F2" s="40">
        <v>10</v>
      </c>
      <c r="G2" s="40">
        <f>D2*E2</f>
        <v>0</v>
      </c>
      <c r="H2">
        <f>ROUNDDOWN(D2/F2,0)*F2</f>
        <v>0</v>
      </c>
      <c r="I2">
        <f>D2-H2</f>
        <v>0</v>
      </c>
      <c r="J2">
        <f>H2*$E2*(1-CONFIGURATOR!$E$38)</f>
        <v>0</v>
      </c>
      <c r="K2">
        <f>I2*$E2*(1-CONFIGURATOR!$E$43)</f>
        <v>0</v>
      </c>
      <c r="L2">
        <f>J2+K2</f>
        <v>0</v>
      </c>
      <c r="N2">
        <f>IF(D2&lt;&gt;0,E2,0)</f>
        <v>0</v>
      </c>
    </row>
    <row r="3" spans="1:14" x14ac:dyDescent="0.25">
      <c r="A3" s="13" t="s">
        <v>242</v>
      </c>
      <c r="B3" s="38" t="s">
        <v>215</v>
      </c>
      <c r="C3" s="32" t="s">
        <v>227</v>
      </c>
      <c r="D3" s="13">
        <f>IF(CONFIGURATOR!$E$26="Black",IF(CONFIGURATOR!$E$18="Poteau_dans_le_sol",CONFIGURATOR!$K$4,IF(CONFIGURATOR!$E$18="Installatie_IN_de_grond",CONFIGURATOR!$K$4,IF(CONFIGURATOR!$E$18="Mounting_IN_the_ground",CONFIGURATOR!$K$4,IF(CONFIGURATOR!$E$18="Montage_IN_den_Boden",CONFIGURATOR!$K$4,0)))),0)</f>
        <v>1</v>
      </c>
      <c r="E3" s="26">
        <v>103.1</v>
      </c>
      <c r="F3" s="40">
        <v>10</v>
      </c>
      <c r="G3" s="40">
        <f t="shared" ref="G3:G40" si="0">D3*E3</f>
        <v>103.1</v>
      </c>
      <c r="H3">
        <f t="shared" ref="H3:H42" si="1">ROUNDDOWN(D3/F3,0)*F3</f>
        <v>0</v>
      </c>
      <c r="I3">
        <f t="shared" ref="I3:I5" si="2">D3-H3</f>
        <v>1</v>
      </c>
      <c r="J3">
        <f>H3*$E3*(1-CONFIGURATOR!$E$38)</f>
        <v>0</v>
      </c>
      <c r="K3">
        <f>I3*$E3*(1-CONFIGURATOR!$E$43)</f>
        <v>103.1</v>
      </c>
      <c r="L3">
        <f t="shared" ref="L3:L5" si="3">J3+K3</f>
        <v>103.1</v>
      </c>
      <c r="N3">
        <f t="shared" ref="N3:N5" si="4">IF(D3&lt;&gt;0,E3,0)</f>
        <v>103.1</v>
      </c>
    </row>
    <row r="4" spans="1:14" x14ac:dyDescent="0.25">
      <c r="A4" s="13" t="s">
        <v>242</v>
      </c>
      <c r="B4" s="38" t="s">
        <v>131</v>
      </c>
      <c r="C4" s="32" t="s">
        <v>132</v>
      </c>
      <c r="D4" s="13">
        <f>IF(CONFIGURATOR!$E$26="Neutral",IF(CONFIGURATOR!$E$18="Fixation_sur_platine",CONFIGURATOR!$K$4,IF(CONFIGURATOR!$E$18="Installatie_OP_de_grond",CONFIGURATOR!$K$4,IF(CONFIGURATOR!$E$18="Mounting_ON_the_ground",CONFIGURATOR!$K$4,IF(CONFIGURATOR!$E$18="Montage_AUF_dem_Boden",CONFIGURATOR!$K$4,0)))),0)</f>
        <v>0</v>
      </c>
      <c r="E4" s="26">
        <v>68.599999999999994</v>
      </c>
      <c r="F4" s="40">
        <v>10</v>
      </c>
      <c r="G4" s="40">
        <f t="shared" si="0"/>
        <v>0</v>
      </c>
      <c r="H4">
        <f t="shared" si="1"/>
        <v>0</v>
      </c>
      <c r="I4">
        <f t="shared" si="2"/>
        <v>0</v>
      </c>
      <c r="J4">
        <f>H4*$E4*(1-CONFIGURATOR!$E$38)</f>
        <v>0</v>
      </c>
      <c r="K4">
        <f>I4*$E4*(1-CONFIGURATOR!$E$43)</f>
        <v>0</v>
      </c>
      <c r="L4">
        <f t="shared" si="3"/>
        <v>0</v>
      </c>
      <c r="N4">
        <f t="shared" si="4"/>
        <v>0</v>
      </c>
    </row>
    <row r="5" spans="1:14" x14ac:dyDescent="0.25">
      <c r="A5" s="13" t="s">
        <v>242</v>
      </c>
      <c r="B5" s="32" t="s">
        <v>214</v>
      </c>
      <c r="C5" s="32" t="s">
        <v>226</v>
      </c>
      <c r="D5" s="13">
        <f>IF(CONFIGURATOR!$E$26="Black",IF(CONFIGURATOR!$E$18="fixation_sur_platine",CONFIGURATOR!$K$4,IF(CONFIGURATOR!$E$18="Installatie_OP_de_grond",CONFIGURATOR!$K$4,IF(CONFIGURATOR!$E$18="Mounting_ON_the_ground",CONFIGURATOR!$K$4,IF(CONFIGURATOR!$E$18="Montage_AUF_dem_Boden",CONFIGURATOR!$K$4,0)))),0)</f>
        <v>0</v>
      </c>
      <c r="E5" s="26">
        <v>75.010000000000005</v>
      </c>
      <c r="F5" s="40">
        <v>10</v>
      </c>
      <c r="G5" s="41">
        <f t="shared" si="0"/>
        <v>0</v>
      </c>
      <c r="H5">
        <f t="shared" si="1"/>
        <v>0</v>
      </c>
      <c r="I5">
        <f t="shared" si="2"/>
        <v>0</v>
      </c>
      <c r="J5">
        <f>(H5*$E5)-(H5*$E5*CONFIGURATOR!$E$38)</f>
        <v>0</v>
      </c>
      <c r="K5">
        <f>(I5*$E5)-(I5*$E5*CONFIGURATOR!$E$43)</f>
        <v>0</v>
      </c>
      <c r="L5">
        <f t="shared" si="3"/>
        <v>0</v>
      </c>
      <c r="M5">
        <f>SUM(L2:L5)</f>
        <v>103.1</v>
      </c>
      <c r="N5">
        <f t="shared" si="4"/>
        <v>0</v>
      </c>
    </row>
    <row r="6" spans="1:14" ht="13" x14ac:dyDescent="0.3">
      <c r="A6" s="31"/>
      <c r="B6" s="30"/>
      <c r="C6" s="30"/>
      <c r="D6" s="31"/>
      <c r="E6" s="31"/>
      <c r="F6" s="31"/>
      <c r="G6" s="41"/>
    </row>
    <row r="7" spans="1:14" x14ac:dyDescent="0.25">
      <c r="A7" s="13" t="s">
        <v>243</v>
      </c>
      <c r="B7" s="32" t="s">
        <v>125</v>
      </c>
      <c r="C7" s="32" t="s">
        <v>126</v>
      </c>
      <c r="D7" s="13">
        <f>IF(CONFIGURATOR!$E$26="Neutral",IF(CONFIGURATOR!$E$18="Poteau_dans_le_sol",CONFIGURATOR!$K$7,IF(CONFIGURATOR!$E$18="Installatie_IN_de_grond",CONFIGURATOR!$K$7,IF(CONFIGURATOR!$E$18="Mounting_IN_the_ground",CONFIGURATOR!$K$7,IF(CONFIGURATOR!$E$18="Montage_IN_den_Boden",CONFIGURATOR!$K$7,0)))),0)</f>
        <v>0</v>
      </c>
      <c r="E7" s="26">
        <v>84.5</v>
      </c>
      <c r="F7" s="40">
        <v>10</v>
      </c>
      <c r="G7" s="41">
        <f t="shared" si="0"/>
        <v>0</v>
      </c>
      <c r="H7">
        <f t="shared" si="1"/>
        <v>0</v>
      </c>
      <c r="I7">
        <f>D7-H7</f>
        <v>0</v>
      </c>
      <c r="J7">
        <f>H7*$E7*(1-CONFIGURATOR!$E$38)</f>
        <v>0</v>
      </c>
      <c r="K7">
        <f>I7*$E7*(1-CONFIGURATOR!$E$43)</f>
        <v>0</v>
      </c>
      <c r="L7">
        <f>J7+K7</f>
        <v>0</v>
      </c>
      <c r="N7">
        <f>IF(D7&lt;&gt;0,E7,0)</f>
        <v>0</v>
      </c>
    </row>
    <row r="8" spans="1:14" x14ac:dyDescent="0.25">
      <c r="A8" s="13" t="s">
        <v>243</v>
      </c>
      <c r="B8" s="32" t="s">
        <v>217</v>
      </c>
      <c r="C8" s="32" t="s">
        <v>229</v>
      </c>
      <c r="D8" s="13">
        <f>IF(CONFIGURATOR!$E$26="Black",IF(CONFIGURATOR!$E$18="Poteau_dans_le_sol",CONFIGURATOR!$K$7,IF(CONFIGURATOR!$E$18="Installatie_IN_de_grond",CONFIGURATOR!$K$7,IF(CONFIGURATOR!$E$18="Mounting_IN_the_ground",CONFIGURATOR!$K$7,IF(CONFIGURATOR!$E$18="Montage_IN_den_Boden",CONFIGURATOR!$K$7,0)))),0)</f>
        <v>1</v>
      </c>
      <c r="E8" s="26">
        <v>93.6</v>
      </c>
      <c r="F8" s="40">
        <v>10</v>
      </c>
      <c r="G8" s="41">
        <f t="shared" si="0"/>
        <v>93.6</v>
      </c>
      <c r="H8">
        <f t="shared" si="1"/>
        <v>0</v>
      </c>
      <c r="I8">
        <f t="shared" ref="I8:I10" si="5">D8-H8</f>
        <v>1</v>
      </c>
      <c r="J8">
        <f>H8*$E8*(1-CONFIGURATOR!$E$38)</f>
        <v>0</v>
      </c>
      <c r="K8">
        <f>I8*$E8*(1-CONFIGURATOR!$E$43)</f>
        <v>93.6</v>
      </c>
      <c r="L8">
        <f t="shared" ref="L8:L10" si="6">J8+K8</f>
        <v>93.6</v>
      </c>
      <c r="N8">
        <f t="shared" ref="N8:N40" si="7">IF(D8&lt;&gt;0,E8,0)</f>
        <v>93.6</v>
      </c>
    </row>
    <row r="9" spans="1:14" x14ac:dyDescent="0.25">
      <c r="A9" s="13" t="s">
        <v>243</v>
      </c>
      <c r="B9" s="38" t="s">
        <v>127</v>
      </c>
      <c r="C9" s="32" t="s">
        <v>128</v>
      </c>
      <c r="D9" s="13">
        <f>IF(CONFIGURATOR!$E$26="Neutral",IF(CONFIGURATOR!$E$18="Fixation_sur_platine",CONFIGURATOR!$K$7,IF(CONFIGURATOR!$E$18="Installatie_OP_de_grond",CONFIGURATOR!$K$7,IF(CONFIGURATOR!$E$18="Mounting_ON_the_ground",CONFIGURATOR!$K$7,IF(CONFIGURATOR!$E$18="Montage_AUF_dem_Boden",CONFIGURATOR!$K$7,0)))),0)</f>
        <v>0</v>
      </c>
      <c r="E9" s="26">
        <v>65.400000000000006</v>
      </c>
      <c r="F9" s="40">
        <v>10</v>
      </c>
      <c r="G9" s="41">
        <f t="shared" si="0"/>
        <v>0</v>
      </c>
      <c r="H9">
        <f t="shared" si="1"/>
        <v>0</v>
      </c>
      <c r="I9">
        <f t="shared" si="5"/>
        <v>0</v>
      </c>
      <c r="J9">
        <f>H9*$E9*(1-CONFIGURATOR!$E$38)</f>
        <v>0</v>
      </c>
      <c r="K9">
        <f>I9*$E9*(1-CONFIGURATOR!$E$43)</f>
        <v>0</v>
      </c>
      <c r="L9">
        <f t="shared" si="6"/>
        <v>0</v>
      </c>
      <c r="N9">
        <f t="shared" si="7"/>
        <v>0</v>
      </c>
    </row>
    <row r="10" spans="1:14" x14ac:dyDescent="0.25">
      <c r="A10" s="13" t="s">
        <v>243</v>
      </c>
      <c r="B10" s="38" t="s">
        <v>216</v>
      </c>
      <c r="C10" s="32" t="s">
        <v>228</v>
      </c>
      <c r="D10" s="13">
        <f>IF(CONFIGURATOR!$E$26="Black",IF(CONFIGURATOR!$E$18="Fixation_sur_platine",CONFIGURATOR!$K$7,IF(CONFIGURATOR!$E$18="Installatie_OP_de_grond",CONFIGURATOR!$K$7,IF(CONFIGURATOR!$E$18="Mounting_ON_the_ground",CONFIGURATOR!$K$7,IF(CONFIGURATOR!$E$18="Montage_AUF_dem_Boden",CONFIGURATOR!$K$7,0)))),0)</f>
        <v>0</v>
      </c>
      <c r="E10" s="26">
        <v>71.7</v>
      </c>
      <c r="F10" s="40">
        <v>10</v>
      </c>
      <c r="G10" s="41">
        <f t="shared" si="0"/>
        <v>0</v>
      </c>
      <c r="H10">
        <f t="shared" si="1"/>
        <v>0</v>
      </c>
      <c r="I10">
        <f t="shared" si="5"/>
        <v>0</v>
      </c>
      <c r="J10">
        <f>H10*$E10*(1-CONFIGURATOR!$E$38)</f>
        <v>0</v>
      </c>
      <c r="K10">
        <f>I10*$E10*(1-CONFIGURATOR!$E$43)</f>
        <v>0</v>
      </c>
      <c r="L10">
        <f t="shared" si="6"/>
        <v>0</v>
      </c>
      <c r="M10">
        <f>SUM(L7:L10)</f>
        <v>93.6</v>
      </c>
      <c r="N10">
        <f t="shared" si="7"/>
        <v>0</v>
      </c>
    </row>
    <row r="11" spans="1:14" ht="13" x14ac:dyDescent="0.3">
      <c r="A11" s="31"/>
      <c r="B11" s="30"/>
      <c r="C11" s="30"/>
      <c r="D11" s="31"/>
      <c r="E11" s="31"/>
      <c r="F11" s="31"/>
      <c r="G11" s="41"/>
    </row>
    <row r="12" spans="1:14" x14ac:dyDescent="0.25">
      <c r="A12" s="13" t="s">
        <v>244</v>
      </c>
      <c r="B12" s="32" t="s">
        <v>115</v>
      </c>
      <c r="C12" s="32" t="s">
        <v>116</v>
      </c>
      <c r="D12" s="26">
        <f>IF(CONFIGURATOR!$E$26="Neutral",+CONFIGURATOR!$K$10,0)</f>
        <v>0</v>
      </c>
      <c r="E12" s="26">
        <v>13.6</v>
      </c>
      <c r="F12" s="40">
        <v>10</v>
      </c>
      <c r="G12" s="41">
        <f t="shared" si="0"/>
        <v>0</v>
      </c>
      <c r="H12">
        <f t="shared" si="1"/>
        <v>0</v>
      </c>
      <c r="I12">
        <f t="shared" ref="I12:I13" si="8">D12-H12</f>
        <v>0</v>
      </c>
      <c r="J12">
        <f>H12*$E12*(1-CONFIGURATOR!$E$38)</f>
        <v>0</v>
      </c>
      <c r="K12">
        <f>I12*$E12*(1-CONFIGURATOR!$E$43)</f>
        <v>0</v>
      </c>
      <c r="L12">
        <f t="shared" ref="L12:L13" si="9">J12+K12</f>
        <v>0</v>
      </c>
      <c r="N12">
        <f t="shared" si="7"/>
        <v>0</v>
      </c>
    </row>
    <row r="13" spans="1:14" x14ac:dyDescent="0.25">
      <c r="A13" s="13" t="s">
        <v>244</v>
      </c>
      <c r="B13" s="38" t="s">
        <v>220</v>
      </c>
      <c r="C13" s="32" t="s">
        <v>232</v>
      </c>
      <c r="D13" s="26">
        <f>IF(CONFIGURATOR!$E$26="Black",+CONFIGURATOR!$K$10,0)</f>
        <v>2</v>
      </c>
      <c r="E13" s="26">
        <v>15.7</v>
      </c>
      <c r="F13" s="40">
        <v>10</v>
      </c>
      <c r="G13" s="41">
        <f t="shared" si="0"/>
        <v>31.4</v>
      </c>
      <c r="H13">
        <f t="shared" si="1"/>
        <v>0</v>
      </c>
      <c r="I13">
        <f t="shared" si="8"/>
        <v>2</v>
      </c>
      <c r="J13">
        <f>H13*$E13*(1-CONFIGURATOR!$E$38)</f>
        <v>0</v>
      </c>
      <c r="K13">
        <f>I13*$E13*(1-CONFIGURATOR!$E$43)</f>
        <v>31.4</v>
      </c>
      <c r="L13">
        <f t="shared" si="9"/>
        <v>31.4</v>
      </c>
      <c r="M13">
        <f>SUM(L12:L13)</f>
        <v>31.4</v>
      </c>
      <c r="N13">
        <f t="shared" si="7"/>
        <v>15.7</v>
      </c>
    </row>
    <row r="14" spans="1:14" ht="13" x14ac:dyDescent="0.3">
      <c r="A14" s="31"/>
      <c r="B14" s="30"/>
      <c r="C14" s="30"/>
      <c r="D14" s="31"/>
      <c r="E14" s="31"/>
      <c r="F14" s="31"/>
      <c r="G14" s="41"/>
    </row>
    <row r="15" spans="1:14" x14ac:dyDescent="0.25">
      <c r="A15" s="13" t="s">
        <v>245</v>
      </c>
      <c r="B15" s="32" t="s">
        <v>113</v>
      </c>
      <c r="C15" s="32" t="s">
        <v>114</v>
      </c>
      <c r="D15" s="26">
        <f>IF(CONFIGURATOR!$E$26="Neutral",+CONFIGURATOR!$K$13,0)</f>
        <v>0</v>
      </c>
      <c r="E15" s="26">
        <v>14</v>
      </c>
      <c r="F15" s="40">
        <v>10</v>
      </c>
      <c r="G15" s="41">
        <f t="shared" si="0"/>
        <v>0</v>
      </c>
      <c r="H15">
        <f t="shared" si="1"/>
        <v>0</v>
      </c>
      <c r="I15">
        <f t="shared" ref="I15:I16" si="10">D15-H15</f>
        <v>0</v>
      </c>
      <c r="J15">
        <f>H15*$E15*(1-CONFIGURATOR!$E$38)</f>
        <v>0</v>
      </c>
      <c r="K15">
        <f>I15*$E15*(1-CONFIGURATOR!$E$43)</f>
        <v>0</v>
      </c>
      <c r="L15">
        <f t="shared" ref="L15:L16" si="11">J15+K15</f>
        <v>0</v>
      </c>
      <c r="N15">
        <f t="shared" si="7"/>
        <v>0</v>
      </c>
    </row>
    <row r="16" spans="1:14" x14ac:dyDescent="0.25">
      <c r="A16" s="13" t="s">
        <v>245</v>
      </c>
      <c r="B16" s="38" t="s">
        <v>219</v>
      </c>
      <c r="C16" s="32" t="s">
        <v>231</v>
      </c>
      <c r="D16" s="26">
        <f>IF(CONFIGURATOR!$E$26="Black",+CONFIGURATOR!K13,0)</f>
        <v>1</v>
      </c>
      <c r="E16" s="26">
        <v>16.3</v>
      </c>
      <c r="F16" s="40">
        <v>10</v>
      </c>
      <c r="G16" s="41">
        <f t="shared" si="0"/>
        <v>16.3</v>
      </c>
      <c r="H16">
        <f t="shared" si="1"/>
        <v>0</v>
      </c>
      <c r="I16">
        <f t="shared" si="10"/>
        <v>1</v>
      </c>
      <c r="J16">
        <f>H16*$E16*(1-CONFIGURATOR!$E$38)</f>
        <v>0</v>
      </c>
      <c r="K16">
        <f>I16*$E16*(1-CONFIGURATOR!$E$43)</f>
        <v>16.3</v>
      </c>
      <c r="L16">
        <f t="shared" si="11"/>
        <v>16.3</v>
      </c>
      <c r="M16">
        <f>SUM(L15:L16)</f>
        <v>16.3</v>
      </c>
      <c r="N16">
        <f t="shared" si="7"/>
        <v>16.3</v>
      </c>
    </row>
    <row r="17" spans="1:14" ht="13" x14ac:dyDescent="0.3">
      <c r="A17" s="31"/>
      <c r="B17" s="30"/>
      <c r="C17" s="30"/>
      <c r="D17" s="31"/>
      <c r="E17" s="31"/>
      <c r="F17" s="31"/>
      <c r="G17" s="41"/>
    </row>
    <row r="18" spans="1:14" x14ac:dyDescent="0.25">
      <c r="A18" s="13" t="s">
        <v>158</v>
      </c>
      <c r="B18" s="38" t="s">
        <v>135</v>
      </c>
      <c r="C18" s="32" t="s">
        <v>136</v>
      </c>
      <c r="D18" s="33">
        <f>IF(CONFIGURATOR!$E$22="Ash Grey",CONFIGURATOR!$K$16,0)</f>
        <v>13</v>
      </c>
      <c r="E18" s="26">
        <v>14.12</v>
      </c>
      <c r="F18" s="40">
        <v>221</v>
      </c>
      <c r="G18" s="41">
        <f t="shared" si="0"/>
        <v>183.56</v>
      </c>
      <c r="H18">
        <f t="shared" si="1"/>
        <v>0</v>
      </c>
      <c r="I18">
        <f t="shared" ref="I18" si="12">D18-H18</f>
        <v>13</v>
      </c>
      <c r="J18">
        <f>H18*$E18*(1-CONFIGURATOR!$E$38)</f>
        <v>0</v>
      </c>
      <c r="K18">
        <f>I18*$E18*(1-CONFIGURATOR!$E$43)</f>
        <v>183.56</v>
      </c>
      <c r="L18">
        <f t="shared" ref="L18" si="13">J18+K18</f>
        <v>183.56</v>
      </c>
      <c r="N18">
        <f t="shared" si="7"/>
        <v>14.12</v>
      </c>
    </row>
    <row r="19" spans="1:14" x14ac:dyDescent="0.25">
      <c r="A19" s="13" t="s">
        <v>158</v>
      </c>
      <c r="B19" s="32" t="s">
        <v>137</v>
      </c>
      <c r="C19" s="32" t="s">
        <v>138</v>
      </c>
      <c r="D19" s="33">
        <f>IF(CONFIGURATOR!$E$22="Sand Beige",CONFIGURATOR!$K$16,0)</f>
        <v>0</v>
      </c>
      <c r="E19" s="26">
        <v>18.440000000000001</v>
      </c>
      <c r="F19" s="40">
        <v>221</v>
      </c>
      <c r="G19" s="41">
        <f t="shared" si="0"/>
        <v>0</v>
      </c>
      <c r="H19">
        <f t="shared" si="1"/>
        <v>0</v>
      </c>
      <c r="I19">
        <f t="shared" ref="I19:I23" si="14">D19-H19</f>
        <v>0</v>
      </c>
      <c r="J19">
        <f>H19*$E19*(1-CONFIGURATOR!$E$38)</f>
        <v>0</v>
      </c>
      <c r="K19">
        <f>I19*$E19*(1-CONFIGURATOR!$E$43)</f>
        <v>0</v>
      </c>
      <c r="L19">
        <f t="shared" ref="L19:L23" si="15">J19+K19</f>
        <v>0</v>
      </c>
      <c r="N19">
        <f t="shared" si="7"/>
        <v>0</v>
      </c>
    </row>
    <row r="20" spans="1:14" x14ac:dyDescent="0.25">
      <c r="A20" s="13" t="s">
        <v>158</v>
      </c>
      <c r="B20" s="38" t="s">
        <v>139</v>
      </c>
      <c r="C20" s="32" t="s">
        <v>140</v>
      </c>
      <c r="D20" s="33">
        <f>IF(CONFIGURATOR!$E$22="Quartz Brown",CONFIGURATOR!$K$16,0)</f>
        <v>0</v>
      </c>
      <c r="E20" s="26">
        <v>14.86</v>
      </c>
      <c r="F20" s="40">
        <v>221</v>
      </c>
      <c r="G20" s="41">
        <f t="shared" si="0"/>
        <v>0</v>
      </c>
      <c r="H20">
        <f t="shared" si="1"/>
        <v>0</v>
      </c>
      <c r="I20">
        <f t="shared" si="14"/>
        <v>0</v>
      </c>
      <c r="J20">
        <f>H20*$E20*(1-CONFIGURATOR!$E$38)</f>
        <v>0</v>
      </c>
      <c r="K20">
        <f>I20*$E20*(1-CONFIGURATOR!$E$43)</f>
        <v>0</v>
      </c>
      <c r="L20">
        <f t="shared" si="15"/>
        <v>0</v>
      </c>
      <c r="N20">
        <f t="shared" si="7"/>
        <v>0</v>
      </c>
    </row>
    <row r="21" spans="1:14" x14ac:dyDescent="0.25">
      <c r="A21" s="13" t="s">
        <v>158</v>
      </c>
      <c r="B21" s="32" t="s">
        <v>141</v>
      </c>
      <c r="C21" s="32" t="s">
        <v>142</v>
      </c>
      <c r="D21" s="33">
        <f>IF(CONFIGURATOR!$E$22="Mineral Grey",CONFIGURATOR!$K$16,0)</f>
        <v>0</v>
      </c>
      <c r="E21" s="26"/>
      <c r="F21" s="40">
        <v>221</v>
      </c>
      <c r="G21" s="41">
        <f t="shared" si="0"/>
        <v>0</v>
      </c>
      <c r="H21">
        <f t="shared" si="1"/>
        <v>0</v>
      </c>
      <c r="I21">
        <f t="shared" si="14"/>
        <v>0</v>
      </c>
      <c r="J21">
        <f>H21*$E21*(1-CONFIGURATOR!$E$38)</f>
        <v>0</v>
      </c>
      <c r="K21">
        <f>I21*$E21*(1-CONFIGURATOR!$E$43)</f>
        <v>0</v>
      </c>
      <c r="L21">
        <f t="shared" si="15"/>
        <v>0</v>
      </c>
      <c r="N21">
        <f t="shared" si="7"/>
        <v>0</v>
      </c>
    </row>
    <row r="22" spans="1:14" x14ac:dyDescent="0.25">
      <c r="A22" s="13" t="s">
        <v>158</v>
      </c>
      <c r="B22" s="38" t="s">
        <v>143</v>
      </c>
      <c r="C22" s="32" t="s">
        <v>144</v>
      </c>
      <c r="D22" s="33">
        <f>IF(CONFIGURATOR!$E$22="Atlas Beige",CONFIGURATOR!$K$16,0)</f>
        <v>0</v>
      </c>
      <c r="E22" s="26">
        <v>16.27</v>
      </c>
      <c r="F22" s="40">
        <v>221</v>
      </c>
      <c r="G22" s="41">
        <f t="shared" si="0"/>
        <v>0</v>
      </c>
      <c r="H22">
        <f t="shared" si="1"/>
        <v>0</v>
      </c>
      <c r="I22">
        <f t="shared" si="14"/>
        <v>0</v>
      </c>
      <c r="J22">
        <f>H22*$E22*(1-CONFIGURATOR!$E$38)</f>
        <v>0</v>
      </c>
      <c r="K22">
        <f>I22*$E22*(1-CONFIGURATOR!$E$43)</f>
        <v>0</v>
      </c>
      <c r="L22">
        <f t="shared" si="15"/>
        <v>0</v>
      </c>
      <c r="N22">
        <f t="shared" si="7"/>
        <v>0</v>
      </c>
    </row>
    <row r="23" spans="1:14" x14ac:dyDescent="0.25">
      <c r="A23" s="13" t="s">
        <v>158</v>
      </c>
      <c r="B23" s="32" t="s">
        <v>145</v>
      </c>
      <c r="C23" s="32" t="s">
        <v>146</v>
      </c>
      <c r="D23" s="33">
        <f>IF(CONFIGURATOR!$E$22="Ural Black",CONFIGURATOR!$K$16,0)</f>
        <v>0</v>
      </c>
      <c r="E23" s="26">
        <v>14.12</v>
      </c>
      <c r="F23" s="40">
        <v>221</v>
      </c>
      <c r="G23" s="41">
        <f t="shared" si="0"/>
        <v>0</v>
      </c>
      <c r="H23">
        <f t="shared" si="1"/>
        <v>0</v>
      </c>
      <c r="I23">
        <f t="shared" si="14"/>
        <v>0</v>
      </c>
      <c r="J23">
        <f>H23*$E23*(1-CONFIGURATOR!$E$38)</f>
        <v>0</v>
      </c>
      <c r="K23">
        <f>I23*$E23*(1-CONFIGURATOR!$E$43)</f>
        <v>0</v>
      </c>
      <c r="L23">
        <f t="shared" si="15"/>
        <v>0</v>
      </c>
      <c r="M23">
        <f>SUM(L18:L23)</f>
        <v>183.56</v>
      </c>
      <c r="N23">
        <f t="shared" si="7"/>
        <v>0</v>
      </c>
    </row>
    <row r="24" spans="1:14" x14ac:dyDescent="0.25">
      <c r="A24" s="13"/>
      <c r="B24" s="32"/>
      <c r="C24" s="32"/>
      <c r="D24" s="33"/>
      <c r="G24" s="41"/>
    </row>
    <row r="25" spans="1:14" x14ac:dyDescent="0.25">
      <c r="A25" s="13" t="s">
        <v>256</v>
      </c>
      <c r="B25" s="38" t="s">
        <v>147</v>
      </c>
      <c r="C25" s="32" t="s">
        <v>148</v>
      </c>
      <c r="D25">
        <f>+CONFIGURATOR!K19</f>
        <v>4</v>
      </c>
      <c r="E25" s="26">
        <v>5.71</v>
      </c>
      <c r="F25" s="40">
        <v>100</v>
      </c>
      <c r="G25" s="41">
        <f t="shared" si="0"/>
        <v>22.84</v>
      </c>
      <c r="H25">
        <f t="shared" si="1"/>
        <v>0</v>
      </c>
      <c r="I25">
        <f t="shared" ref="I25" si="16">D25-H25</f>
        <v>4</v>
      </c>
      <c r="J25">
        <f>H25*$E25*(1-CONFIGURATOR!$E$38)</f>
        <v>0</v>
      </c>
      <c r="K25">
        <f>I25*$E25*(1-CONFIGURATOR!$E$43)</f>
        <v>22.84</v>
      </c>
      <c r="L25">
        <f t="shared" ref="L25" si="17">J25+K25</f>
        <v>22.84</v>
      </c>
      <c r="M25">
        <f>L25</f>
        <v>22.84</v>
      </c>
      <c r="N25">
        <f t="shared" si="7"/>
        <v>5.71</v>
      </c>
    </row>
    <row r="26" spans="1:14" x14ac:dyDescent="0.25">
      <c r="G26" s="41"/>
    </row>
    <row r="27" spans="1:14" x14ac:dyDescent="0.25">
      <c r="A27" s="13" t="s">
        <v>255</v>
      </c>
      <c r="B27" s="32" t="s">
        <v>133</v>
      </c>
      <c r="C27" s="32" t="s">
        <v>134</v>
      </c>
      <c r="D27">
        <f>IF(CONFIGURATOR!$E$26="Neutral",+CONFIGURATOR!$K$22,0)</f>
        <v>0</v>
      </c>
      <c r="E27" s="26">
        <v>39</v>
      </c>
      <c r="F27" s="40">
        <v>10</v>
      </c>
      <c r="G27" s="41">
        <f t="shared" si="0"/>
        <v>0</v>
      </c>
      <c r="H27">
        <f t="shared" si="1"/>
        <v>0</v>
      </c>
      <c r="I27">
        <f t="shared" ref="I27:I28" si="18">D27-H27</f>
        <v>0</v>
      </c>
      <c r="J27">
        <f>H27*$E27*(1-CONFIGURATOR!$E$38)</f>
        <v>0</v>
      </c>
      <c r="K27">
        <f>I27*$E27*(1-CONFIGURATOR!$E$43)</f>
        <v>0</v>
      </c>
      <c r="L27">
        <f t="shared" ref="L27:L28" si="19">J27+K27</f>
        <v>0</v>
      </c>
      <c r="N27">
        <f t="shared" si="7"/>
        <v>0</v>
      </c>
    </row>
    <row r="28" spans="1:14" x14ac:dyDescent="0.25">
      <c r="A28" s="13" t="s">
        <v>255</v>
      </c>
      <c r="B28" s="38" t="s">
        <v>218</v>
      </c>
      <c r="C28" s="32" t="s">
        <v>230</v>
      </c>
      <c r="D28">
        <f>IF(CONFIGURATOR!$E$26="Black",+CONFIGURATOR!$K$22,0)</f>
        <v>1</v>
      </c>
      <c r="E28" s="26">
        <v>39.299999999999997</v>
      </c>
      <c r="F28" s="40">
        <v>10</v>
      </c>
      <c r="G28" s="41">
        <f t="shared" si="0"/>
        <v>39.299999999999997</v>
      </c>
      <c r="H28">
        <f t="shared" si="1"/>
        <v>0</v>
      </c>
      <c r="I28">
        <f t="shared" si="18"/>
        <v>1</v>
      </c>
      <c r="J28">
        <f>H28*$E28*(1-CONFIGURATOR!$E$38)</f>
        <v>0</v>
      </c>
      <c r="K28">
        <f>I28*$E28*(1-CONFIGURATOR!$E$43)</f>
        <v>39.299999999999997</v>
      </c>
      <c r="L28">
        <f t="shared" si="19"/>
        <v>39.299999999999997</v>
      </c>
      <c r="M28">
        <f>SUM(L27:L28)</f>
        <v>39.299999999999997</v>
      </c>
      <c r="N28">
        <f t="shared" si="7"/>
        <v>39.299999999999997</v>
      </c>
    </row>
    <row r="29" spans="1:14" x14ac:dyDescent="0.25">
      <c r="G29" s="41"/>
    </row>
    <row r="30" spans="1:14" x14ac:dyDescent="0.25">
      <c r="A30" s="13"/>
      <c r="B30" s="32" t="s">
        <v>123</v>
      </c>
      <c r="C30" s="32" t="s">
        <v>124</v>
      </c>
      <c r="D30">
        <f>IF(CONFIGURATOR!$E$26="Neutral",+CONFIGURATOR!$K$25,0)</f>
        <v>0</v>
      </c>
      <c r="E30" s="26">
        <v>53.93</v>
      </c>
      <c r="F30" s="40">
        <v>10</v>
      </c>
      <c r="G30" s="41">
        <f t="shared" si="0"/>
        <v>0</v>
      </c>
      <c r="H30">
        <f t="shared" si="1"/>
        <v>0</v>
      </c>
      <c r="I30">
        <f t="shared" ref="I30" si="20">D30-H30</f>
        <v>0</v>
      </c>
      <c r="J30">
        <f>H30*$E30*(1-CONFIGURATOR!$E$38)</f>
        <v>0</v>
      </c>
      <c r="K30">
        <f>I30*$E30*(1-CONFIGURATOR!$E$43)</f>
        <v>0</v>
      </c>
      <c r="L30">
        <f t="shared" ref="L30" si="21">J30+K30</f>
        <v>0</v>
      </c>
      <c r="N30">
        <f t="shared" si="7"/>
        <v>0</v>
      </c>
    </row>
    <row r="31" spans="1:14" x14ac:dyDescent="0.25">
      <c r="A31" s="13"/>
      <c r="B31" s="38" t="s">
        <v>221</v>
      </c>
      <c r="C31" s="32" t="s">
        <v>233</v>
      </c>
      <c r="D31">
        <f>IF(CONFIGURATOR!$E$26="Black",+CONFIGURATOR!$K$25,0)</f>
        <v>0</v>
      </c>
      <c r="E31" s="26">
        <v>53.93</v>
      </c>
      <c r="F31" s="40">
        <v>10</v>
      </c>
      <c r="G31" s="41">
        <f t="shared" si="0"/>
        <v>0</v>
      </c>
      <c r="H31">
        <f t="shared" si="1"/>
        <v>0</v>
      </c>
      <c r="I31">
        <f t="shared" ref="I31" si="22">D31-H31</f>
        <v>0</v>
      </c>
      <c r="J31">
        <f>H31*$E31*(1-CONFIGURATOR!$E$38)</f>
        <v>0</v>
      </c>
      <c r="K31">
        <f>I31*$E31*(1-CONFIGURATOR!$E$43)</f>
        <v>0</v>
      </c>
      <c r="L31">
        <f t="shared" ref="L31" si="23">J31+K31</f>
        <v>0</v>
      </c>
      <c r="M31">
        <f>SUM(L30:L31)</f>
        <v>0</v>
      </c>
      <c r="N31">
        <f t="shared" si="7"/>
        <v>0</v>
      </c>
    </row>
    <row r="32" spans="1:14" x14ac:dyDescent="0.25">
      <c r="G32" s="41"/>
    </row>
    <row r="33" spans="1:14" x14ac:dyDescent="0.25">
      <c r="A33" s="13" t="s">
        <v>249</v>
      </c>
      <c r="B33" s="32" t="s">
        <v>121</v>
      </c>
      <c r="C33" s="32" t="s">
        <v>122</v>
      </c>
      <c r="D33">
        <f>IF(CONFIGURATOR!$E$26="Neutral",+CONFIGURATOR!$K$28,0)</f>
        <v>0</v>
      </c>
      <c r="E33" s="26">
        <v>14.24</v>
      </c>
      <c r="F33" s="40">
        <v>10</v>
      </c>
      <c r="G33" s="41">
        <f t="shared" si="0"/>
        <v>0</v>
      </c>
      <c r="H33">
        <f t="shared" si="1"/>
        <v>0</v>
      </c>
      <c r="I33">
        <f t="shared" ref="I33:I34" si="24">D33-H33</f>
        <v>0</v>
      </c>
      <c r="J33">
        <f>H33*$E33*(1-CONFIGURATOR!$E$38)</f>
        <v>0</v>
      </c>
      <c r="K33">
        <f>I33*$E33*(1-CONFIGURATOR!$E$43)</f>
        <v>0</v>
      </c>
      <c r="L33">
        <f t="shared" ref="L33:L34" si="25">J33+K33</f>
        <v>0</v>
      </c>
      <c r="N33">
        <f t="shared" si="7"/>
        <v>0</v>
      </c>
    </row>
    <row r="34" spans="1:14" x14ac:dyDescent="0.25">
      <c r="A34" s="13"/>
      <c r="B34" s="38" t="s">
        <v>222</v>
      </c>
      <c r="C34" s="32" t="s">
        <v>234</v>
      </c>
      <c r="D34">
        <f>IF(CONFIGURATOR!$E$26="Black",+CONFIGURATOR!K28,0)</f>
        <v>1</v>
      </c>
      <c r="E34" s="26">
        <v>14.24</v>
      </c>
      <c r="F34" s="40">
        <v>10</v>
      </c>
      <c r="G34" s="41">
        <f t="shared" si="0"/>
        <v>14.24</v>
      </c>
      <c r="H34">
        <f t="shared" si="1"/>
        <v>0</v>
      </c>
      <c r="I34">
        <f t="shared" si="24"/>
        <v>1</v>
      </c>
      <c r="J34">
        <f>H34*$E34*(1-CONFIGURATOR!$E$38)</f>
        <v>0</v>
      </c>
      <c r="K34">
        <f>I34*$E34*(1-CONFIGURATOR!$E$43)</f>
        <v>14.24</v>
      </c>
      <c r="L34">
        <f t="shared" si="25"/>
        <v>14.24</v>
      </c>
      <c r="M34">
        <f>SUM(L33:L34)</f>
        <v>14.24</v>
      </c>
      <c r="N34">
        <f t="shared" si="7"/>
        <v>14.24</v>
      </c>
    </row>
    <row r="35" spans="1:14" x14ac:dyDescent="0.25">
      <c r="A35" s="13"/>
      <c r="B35" s="38"/>
      <c r="C35" s="32"/>
      <c r="G35" s="41"/>
    </row>
    <row r="36" spans="1:14" x14ac:dyDescent="0.25">
      <c r="A36" s="13" t="s">
        <v>247</v>
      </c>
      <c r="B36" s="32" t="s">
        <v>119</v>
      </c>
      <c r="C36" s="32" t="s">
        <v>120</v>
      </c>
      <c r="D36">
        <f>IF(CONFIGURATOR!$E$26="Neutral",+CONFIGURATOR!$K$31,0)</f>
        <v>0</v>
      </c>
      <c r="E36" s="33">
        <v>52.33</v>
      </c>
      <c r="F36" s="40">
        <v>10</v>
      </c>
      <c r="G36" s="41">
        <f t="shared" si="0"/>
        <v>0</v>
      </c>
      <c r="H36">
        <f t="shared" si="1"/>
        <v>0</v>
      </c>
      <c r="I36">
        <f t="shared" ref="I36:I37" si="26">D36-H36</f>
        <v>0</v>
      </c>
      <c r="J36">
        <f>H36*$E36*(1-CONFIGURATOR!$E$38)</f>
        <v>0</v>
      </c>
      <c r="K36">
        <f>I36*$E36*(1-CONFIGURATOR!$E$43)</f>
        <v>0</v>
      </c>
      <c r="L36">
        <f t="shared" ref="L36:L37" si="27">J36+K36</f>
        <v>0</v>
      </c>
      <c r="N36">
        <f t="shared" si="7"/>
        <v>0</v>
      </c>
    </row>
    <row r="37" spans="1:14" x14ac:dyDescent="0.25">
      <c r="A37" s="13" t="s">
        <v>248</v>
      </c>
      <c r="B37" s="38" t="s">
        <v>223</v>
      </c>
      <c r="C37" s="32" t="s">
        <v>235</v>
      </c>
      <c r="D37">
        <f>IF(CONFIGURATOR!$E$26="Black",+CONFIGURATOR!K31,0)</f>
        <v>0</v>
      </c>
      <c r="E37" s="26">
        <v>52.33</v>
      </c>
      <c r="F37" s="40">
        <v>10</v>
      </c>
      <c r="G37" s="41">
        <f t="shared" si="0"/>
        <v>0</v>
      </c>
      <c r="H37">
        <f t="shared" si="1"/>
        <v>0</v>
      </c>
      <c r="I37">
        <f t="shared" si="26"/>
        <v>0</v>
      </c>
      <c r="J37">
        <f>H37*$E37*(1-CONFIGURATOR!$E$38)</f>
        <v>0</v>
      </c>
      <c r="K37">
        <f>I37*$E37*(1-CONFIGURATOR!$E$43)</f>
        <v>0</v>
      </c>
      <c r="L37">
        <f t="shared" si="27"/>
        <v>0</v>
      </c>
      <c r="M37">
        <f>SUM(L36:L37)</f>
        <v>0</v>
      </c>
      <c r="N37">
        <f>IF(D37&lt;&gt;0,E37,0)</f>
        <v>0</v>
      </c>
    </row>
    <row r="38" spans="1:14" x14ac:dyDescent="0.25">
      <c r="A38" s="13"/>
      <c r="B38" s="38"/>
      <c r="C38" s="32"/>
      <c r="G38" s="41"/>
    </row>
    <row r="39" spans="1:14" x14ac:dyDescent="0.25">
      <c r="A39" s="13" t="s">
        <v>246</v>
      </c>
      <c r="B39" s="32" t="s">
        <v>117</v>
      </c>
      <c r="C39" s="32" t="s">
        <v>118</v>
      </c>
      <c r="D39">
        <f>IF(CONFIGURATOR!$E$26="Neutral",+CONFIGURATOR!$K$34,0)</f>
        <v>0</v>
      </c>
      <c r="E39" s="26">
        <v>14.91</v>
      </c>
      <c r="F39" s="40">
        <v>10</v>
      </c>
      <c r="G39" s="41">
        <f t="shared" si="0"/>
        <v>0</v>
      </c>
      <c r="H39">
        <f t="shared" si="1"/>
        <v>0</v>
      </c>
      <c r="I39">
        <f t="shared" ref="I39:I40" si="28">D39-H39</f>
        <v>0</v>
      </c>
      <c r="J39">
        <f>H39*$E39*(1-CONFIGURATOR!$E$38)</f>
        <v>0</v>
      </c>
      <c r="K39">
        <f>I39*$E39*(1-CONFIGURATOR!$E$43)</f>
        <v>0</v>
      </c>
      <c r="L39">
        <f t="shared" ref="L39:L40" si="29">J39+K39</f>
        <v>0</v>
      </c>
      <c r="N39">
        <f t="shared" si="7"/>
        <v>0</v>
      </c>
    </row>
    <row r="40" spans="1:14" x14ac:dyDescent="0.25">
      <c r="A40" s="13" t="s">
        <v>246</v>
      </c>
      <c r="B40" s="38" t="s">
        <v>224</v>
      </c>
      <c r="C40" s="32" t="s">
        <v>236</v>
      </c>
      <c r="D40">
        <f>IF(CONFIGURATOR!$E$26="Black",+CONFIGURATOR!$K$34,0)</f>
        <v>1</v>
      </c>
      <c r="E40" s="26">
        <v>14.91</v>
      </c>
      <c r="F40" s="40">
        <v>10</v>
      </c>
      <c r="G40" s="41">
        <f t="shared" si="0"/>
        <v>14.91</v>
      </c>
      <c r="H40">
        <f t="shared" si="1"/>
        <v>0</v>
      </c>
      <c r="I40">
        <f t="shared" si="28"/>
        <v>1</v>
      </c>
      <c r="J40">
        <f>H40*$E40*(1-CONFIGURATOR!$E$38)</f>
        <v>0</v>
      </c>
      <c r="K40">
        <f>I40*$E40*(1-CONFIGURATOR!$E$43)</f>
        <v>14.91</v>
      </c>
      <c r="L40">
        <f t="shared" si="29"/>
        <v>14.91</v>
      </c>
      <c r="M40">
        <f>SUM(L39:L40)</f>
        <v>14.91</v>
      </c>
      <c r="N40">
        <f t="shared" si="7"/>
        <v>14.91</v>
      </c>
    </row>
    <row r="42" spans="1:14" x14ac:dyDescent="0.25">
      <c r="A42" s="13"/>
      <c r="B42" s="32" t="s">
        <v>149</v>
      </c>
      <c r="C42" s="32" t="s">
        <v>101</v>
      </c>
      <c r="D42" s="26">
        <f>+CONFIGURATOR!K37</f>
        <v>13</v>
      </c>
      <c r="E42" s="26">
        <v>1.65</v>
      </c>
      <c r="F42" s="26">
        <v>1</v>
      </c>
      <c r="G42" s="42">
        <f t="shared" ref="G42" si="30">D42*E42</f>
        <v>21.45</v>
      </c>
      <c r="H42">
        <f t="shared" si="1"/>
        <v>13</v>
      </c>
      <c r="I42" s="26">
        <f t="shared" ref="I42" si="31">D42-H42</f>
        <v>0</v>
      </c>
      <c r="J42" s="26">
        <f>G42*SUM(L18:L23)/SUM(G18:G23)</f>
        <v>21.45</v>
      </c>
      <c r="K42" s="26">
        <f>I42*$E42*(1-CONFIGURATOR!$E$43)</f>
        <v>0</v>
      </c>
      <c r="L42" s="26">
        <f t="shared" ref="L42" si="32">J42+K42</f>
        <v>21.45</v>
      </c>
      <c r="M42" s="26">
        <f>SUM(L41:L42)</f>
        <v>21.45</v>
      </c>
      <c r="N42" s="26">
        <f t="shared" ref="N42" si="33">IF(D42&lt;&gt;0,E42,0)</f>
        <v>1.65</v>
      </c>
    </row>
    <row r="43" spans="1:14" x14ac:dyDescent="0.25">
      <c r="A43" s="13"/>
      <c r="B43" s="38" t="s">
        <v>150</v>
      </c>
      <c r="C43" s="13" t="s">
        <v>225</v>
      </c>
      <c r="D43">
        <v>1</v>
      </c>
      <c r="E43">
        <v>0</v>
      </c>
    </row>
    <row r="44" spans="1:14" x14ac:dyDescent="0.25">
      <c r="A44" s="13"/>
    </row>
    <row r="45" spans="1:14" x14ac:dyDescent="0.25">
      <c r="A45" s="13"/>
    </row>
    <row r="46" spans="1:14" x14ac:dyDescent="0.25">
      <c r="A46" s="13"/>
    </row>
    <row r="47" spans="1:14" x14ac:dyDescent="0.25">
      <c r="A47" s="13"/>
    </row>
    <row r="48" spans="1:14" x14ac:dyDescent="0.25">
      <c r="A48" s="13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Boekingsbestand_BENELUX">
                <anchor moveWithCells="1" sizeWithCells="1">
                  <from>
                    <xdr:col>23</xdr:col>
                    <xdr:colOff>450850</xdr:colOff>
                    <xdr:row>25</xdr:row>
                    <xdr:rowOff>12700</xdr:rowOff>
                  </from>
                  <to>
                    <xdr:col>25</xdr:col>
                    <xdr:colOff>412750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28</vt:i4>
      </vt:variant>
    </vt:vector>
  </HeadingPairs>
  <TitlesOfParts>
    <vt:vector size="29" baseType="lpstr">
      <vt:lpstr>CONFIGURATOR</vt:lpstr>
      <vt:lpstr>Deutsch</vt:lpstr>
      <vt:lpstr>English</vt:lpstr>
      <vt:lpstr>Fixation_sur_platine</vt:lpstr>
      <vt:lpstr>Français</vt:lpstr>
      <vt:lpstr>Impress</vt:lpstr>
      <vt:lpstr>Installatie_IN_de_grond</vt:lpstr>
      <vt:lpstr>Installatie_OP_de_grond</vt:lpstr>
      <vt:lpstr>KLEURALU</vt:lpstr>
      <vt:lpstr>KLEUREN</vt:lpstr>
      <vt:lpstr>KLEUREN_D</vt:lpstr>
      <vt:lpstr>KLEUREN_ENG</vt:lpstr>
      <vt:lpstr>KLEUREN_FR</vt:lpstr>
      <vt:lpstr>KLEUREN_NL</vt:lpstr>
      <vt:lpstr>KLEURENALU</vt:lpstr>
      <vt:lpstr>MONTAGE</vt:lpstr>
      <vt:lpstr>Montage_AUF_dem_Boden</vt:lpstr>
      <vt:lpstr>MONTAGE_D</vt:lpstr>
      <vt:lpstr>MONTAGE_ENG</vt:lpstr>
      <vt:lpstr>MONTAGE_FR</vt:lpstr>
      <vt:lpstr>Montage_In_den_Boden</vt:lpstr>
      <vt:lpstr>MONTAGE_NL</vt:lpstr>
      <vt:lpstr>Mounting_IN_the_ground</vt:lpstr>
      <vt:lpstr>Mounting_ON_the_ground</vt:lpstr>
      <vt:lpstr>Nederlands</vt:lpstr>
      <vt:lpstr>NL</vt:lpstr>
      <vt:lpstr>Poteau_dans_le_sol</vt:lpstr>
      <vt:lpstr>TALEN</vt:lpstr>
      <vt:lpstr>UITEINDEN</vt:lpstr>
    </vt:vector>
  </TitlesOfParts>
  <Company>cides id BVBA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</dc:creator>
  <cp:lastModifiedBy>Floris Jan Beumer</cp:lastModifiedBy>
  <cp:lastPrinted>2021-12-06T14:26:35Z</cp:lastPrinted>
  <dcterms:created xsi:type="dcterms:W3CDTF">2015-10-27T13:10:52Z</dcterms:created>
  <dcterms:modified xsi:type="dcterms:W3CDTF">2022-01-19T16:58:22Z</dcterms:modified>
</cp:coreProperties>
</file>